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/>
  <mc:AlternateContent xmlns:mc="http://schemas.openxmlformats.org/markup-compatibility/2006">
    <mc:Choice Requires="x15">
      <x15ac:absPath xmlns:x15ac="http://schemas.microsoft.com/office/spreadsheetml/2010/11/ac" url="/Users/macbookair/Desktop/"/>
    </mc:Choice>
  </mc:AlternateContent>
  <xr:revisionPtr revIDLastSave="0" documentId="8_{04B59F3B-DBA2-8342-A554-ED9E2F4AE6CD}" xr6:coauthVersionLast="40" xr6:coauthVersionMax="40" xr10:uidLastSave="{00000000-0000-0000-0000-000000000000}"/>
  <bookViews>
    <workbookView xWindow="0" yWindow="0" windowWidth="28800" windowHeight="18000" activeTab="3" xr2:uid="{BB5D3BDE-A4F9-482F-A839-47477CA3E45A}"/>
  </bookViews>
  <sheets>
    <sheet name="Calibration" sheetId="2" r:id="rId1"/>
    <sheet name="Economy Analysis" sheetId="1" r:id="rId2"/>
    <sheet name="Efficiency Analysis" sheetId="3" r:id="rId3"/>
    <sheet name="Effectiveness Analysis" sheetId="4" r:id="rId4"/>
    <sheet name="Lookups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4" l="1"/>
  <c r="G4" i="4"/>
  <c r="E11" i="3" l="1"/>
  <c r="D12" i="3" l="1"/>
  <c r="K5" i="4" l="1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4" i="4"/>
  <c r="A40" i="2"/>
  <c r="A37" i="2"/>
  <c r="A36" i="2"/>
  <c r="A35" i="2"/>
  <c r="G53" i="4" l="1"/>
  <c r="F53" i="4"/>
  <c r="A1" i="1"/>
  <c r="A1" i="4"/>
  <c r="A1" i="3"/>
  <c r="H4" i="4" l="1"/>
  <c r="I4" i="4" s="1"/>
  <c r="H5" i="4"/>
  <c r="I5" i="4" s="1"/>
  <c r="H6" i="4"/>
  <c r="I6" i="4" s="1"/>
  <c r="H7" i="4"/>
  <c r="I7" i="4" s="1"/>
  <c r="H8" i="4"/>
  <c r="I8" i="4" s="1"/>
  <c r="I9" i="4"/>
  <c r="H10" i="4"/>
  <c r="H11" i="4"/>
  <c r="I11" i="4" s="1"/>
  <c r="H12" i="4"/>
  <c r="I12" i="4" s="1"/>
  <c r="J12" i="4"/>
  <c r="H13" i="4"/>
  <c r="J13" i="4" s="1"/>
  <c r="H14" i="4"/>
  <c r="J14" i="4" s="1"/>
  <c r="I14" i="4"/>
  <c r="H15" i="4"/>
  <c r="I15" i="4" s="1"/>
  <c r="H16" i="4"/>
  <c r="J16" i="4" s="1"/>
  <c r="H17" i="4"/>
  <c r="J17" i="4" s="1"/>
  <c r="H18" i="4"/>
  <c r="I18" i="4" s="1"/>
  <c r="H19" i="4"/>
  <c r="I19" i="4" s="1"/>
  <c r="H20" i="4"/>
  <c r="I20" i="4" s="1"/>
  <c r="H21" i="4"/>
  <c r="I21" i="4" s="1"/>
  <c r="H22" i="4"/>
  <c r="I22" i="4" s="1"/>
  <c r="H23" i="4"/>
  <c r="I23" i="4" s="1"/>
  <c r="H24" i="4"/>
  <c r="I24" i="4" s="1"/>
  <c r="H25" i="4"/>
  <c r="I25" i="4" s="1"/>
  <c r="H26" i="4"/>
  <c r="J26" i="4" s="1"/>
  <c r="I26" i="4"/>
  <c r="H27" i="4"/>
  <c r="I27" i="4" s="1"/>
  <c r="H28" i="4"/>
  <c r="J28" i="4" s="1"/>
  <c r="I28" i="4"/>
  <c r="H29" i="4"/>
  <c r="I29" i="4" s="1"/>
  <c r="H30" i="4"/>
  <c r="J30" i="4" s="1"/>
  <c r="I30" i="4"/>
  <c r="H31" i="4"/>
  <c r="I31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H40" i="4"/>
  <c r="I40" i="4" s="1"/>
  <c r="H41" i="4"/>
  <c r="I41" i="4" s="1"/>
  <c r="H42" i="4"/>
  <c r="J42" i="4" s="1"/>
  <c r="I42" i="4"/>
  <c r="H43" i="4"/>
  <c r="I43" i="4" s="1"/>
  <c r="H44" i="4"/>
  <c r="I44" i="4" s="1"/>
  <c r="H45" i="4"/>
  <c r="J45" i="4" s="1"/>
  <c r="I45" i="4"/>
  <c r="H46" i="4"/>
  <c r="I46" i="4" s="1"/>
  <c r="H47" i="4"/>
  <c r="I47" i="4" s="1"/>
  <c r="H48" i="4"/>
  <c r="I48" i="4" s="1"/>
  <c r="H49" i="4"/>
  <c r="J49" i="4" s="1"/>
  <c r="H50" i="4"/>
  <c r="I50" i="4" s="1"/>
  <c r="J50" i="4"/>
  <c r="H51" i="4"/>
  <c r="I51" i="4" s="1"/>
  <c r="H52" i="4"/>
  <c r="I52" i="4" s="1"/>
  <c r="J52" i="4"/>
  <c r="H3" i="4"/>
  <c r="I3" i="4" s="1"/>
  <c r="A25" i="2"/>
  <c r="I10" i="4" l="1"/>
  <c r="J10" i="4" s="1"/>
  <c r="J9" i="4"/>
  <c r="J25" i="4"/>
  <c r="J40" i="4"/>
  <c r="I16" i="4"/>
  <c r="J3" i="4"/>
  <c r="J37" i="4"/>
  <c r="I13" i="4"/>
  <c r="J20" i="4"/>
  <c r="J36" i="4"/>
  <c r="J5" i="4"/>
  <c r="J41" i="4"/>
  <c r="J4" i="4"/>
  <c r="I49" i="4"/>
  <c r="I17" i="4"/>
  <c r="J21" i="4"/>
  <c r="J6" i="4"/>
  <c r="J44" i="4"/>
  <c r="J34" i="4"/>
  <c r="J29" i="4"/>
  <c r="J48" i="4"/>
  <c r="J38" i="4"/>
  <c r="J24" i="4"/>
  <c r="J33" i="4"/>
  <c r="J18" i="4"/>
  <c r="J46" i="4"/>
  <c r="J32" i="4"/>
  <c r="J22" i="4"/>
  <c r="J8" i="4"/>
  <c r="J51" i="4"/>
  <c r="J47" i="4"/>
  <c r="J43" i="4"/>
  <c r="J39" i="4"/>
  <c r="J35" i="4"/>
  <c r="J31" i="4"/>
  <c r="J27" i="4"/>
  <c r="J23" i="4"/>
  <c r="J19" i="4"/>
  <c r="J15" i="4"/>
  <c r="J11" i="4"/>
  <c r="J7" i="4"/>
  <c r="E4" i="3" l="1"/>
  <c r="G4" i="3" s="1"/>
  <c r="E5" i="3"/>
  <c r="G5" i="3" s="1"/>
  <c r="E6" i="3"/>
  <c r="G6" i="3" s="1"/>
  <c r="E7" i="3"/>
  <c r="G7" i="3" s="1"/>
  <c r="E8" i="3"/>
  <c r="G8" i="3" s="1"/>
  <c r="E9" i="3"/>
  <c r="G9" i="3" s="1"/>
  <c r="E10" i="3"/>
  <c r="G10" i="3" s="1"/>
  <c r="G11" i="3"/>
  <c r="E12" i="3"/>
  <c r="G12" i="3" s="1"/>
  <c r="E13" i="3"/>
  <c r="G13" i="3" s="1"/>
  <c r="E14" i="3"/>
  <c r="G14" i="3" s="1"/>
  <c r="E15" i="3"/>
  <c r="G15" i="3" s="1"/>
  <c r="E16" i="3"/>
  <c r="G16" i="3" s="1"/>
  <c r="E17" i="3"/>
  <c r="G17" i="3" s="1"/>
  <c r="E18" i="3"/>
  <c r="G18" i="3" s="1"/>
  <c r="E19" i="3"/>
  <c r="G19" i="3" s="1"/>
  <c r="E20" i="3"/>
  <c r="G20" i="3" s="1"/>
  <c r="E21" i="3"/>
  <c r="G21" i="3" s="1"/>
  <c r="E22" i="3"/>
  <c r="G22" i="3" s="1"/>
  <c r="E23" i="3"/>
  <c r="G23" i="3" s="1"/>
  <c r="E24" i="3"/>
  <c r="G24" i="3"/>
  <c r="E25" i="3"/>
  <c r="G25" i="3" s="1"/>
  <c r="E26" i="3"/>
  <c r="G26" i="3" s="1"/>
  <c r="E27" i="3"/>
  <c r="G27" i="3" s="1"/>
  <c r="E28" i="3"/>
  <c r="G28" i="3" s="1"/>
  <c r="E29" i="3"/>
  <c r="G29" i="3" s="1"/>
  <c r="E30" i="3"/>
  <c r="G30" i="3"/>
  <c r="E31" i="3"/>
  <c r="G31" i="3" s="1"/>
  <c r="E32" i="3"/>
  <c r="G32" i="3" s="1"/>
  <c r="E33" i="3"/>
  <c r="G33" i="3"/>
  <c r="E34" i="3"/>
  <c r="G34" i="3"/>
  <c r="E35" i="3"/>
  <c r="G35" i="3" s="1"/>
  <c r="E36" i="3"/>
  <c r="G36" i="3" s="1"/>
  <c r="E37" i="3"/>
  <c r="G37" i="3" s="1"/>
  <c r="E38" i="3"/>
  <c r="G38" i="3" s="1"/>
  <c r="E39" i="3"/>
  <c r="G39" i="3" s="1"/>
  <c r="E40" i="3"/>
  <c r="G40" i="3"/>
  <c r="E41" i="3"/>
  <c r="G41" i="3" s="1"/>
  <c r="E42" i="3"/>
  <c r="G42" i="3"/>
  <c r="E43" i="3"/>
  <c r="G43" i="3" s="1"/>
  <c r="E44" i="3"/>
  <c r="G44" i="3" s="1"/>
  <c r="E45" i="3"/>
  <c r="G45" i="3"/>
  <c r="E46" i="3"/>
  <c r="G46" i="3"/>
  <c r="E47" i="3"/>
  <c r="G47" i="3" s="1"/>
  <c r="E48" i="3"/>
  <c r="G48" i="3"/>
  <c r="E49" i="3"/>
  <c r="G49" i="3" s="1"/>
  <c r="E50" i="3"/>
  <c r="G50" i="3" s="1"/>
  <c r="E51" i="3"/>
  <c r="G51" i="3"/>
  <c r="E3" i="3"/>
  <c r="G3" i="3" s="1"/>
  <c r="A8" i="2"/>
  <c r="A5" i="2"/>
  <c r="G54" i="4"/>
  <c r="F54" i="4"/>
  <c r="A55" i="4"/>
  <c r="A54" i="4"/>
  <c r="A53" i="4"/>
  <c r="D53" i="3"/>
  <c r="A54" i="3"/>
  <c r="A53" i="3"/>
  <c r="A52" i="3"/>
  <c r="C53" i="3"/>
  <c r="D52" i="3"/>
  <c r="D2" i="3"/>
  <c r="G2" i="4" s="1"/>
  <c r="C52" i="3"/>
  <c r="E54" i="1"/>
  <c r="E53" i="1"/>
  <c r="D54" i="1"/>
  <c r="D53" i="1"/>
  <c r="A53" i="1"/>
  <c r="A54" i="1"/>
  <c r="A55" i="1"/>
  <c r="D2" i="1"/>
  <c r="C2" i="3" s="1"/>
  <c r="F2" i="4" s="1"/>
  <c r="F55" i="4" l="1"/>
  <c r="G55" i="4"/>
  <c r="D54" i="3"/>
  <c r="C54" i="3"/>
  <c r="D55" i="1"/>
  <c r="E55" i="1"/>
</calcChain>
</file>

<file path=xl/sharedStrings.xml><?xml version="1.0" encoding="utf-8"?>
<sst xmlns="http://schemas.openxmlformats.org/spreadsheetml/2006/main" count="253" uniqueCount="238">
  <si>
    <t>S/N</t>
  </si>
  <si>
    <t>Economic Item</t>
  </si>
  <si>
    <t>Year</t>
  </si>
  <si>
    <t>2025 Performance Full Year</t>
  </si>
  <si>
    <t>What was bought with the Funds</t>
  </si>
  <si>
    <t>Implied Unit Costs</t>
  </si>
  <si>
    <t>Sector</t>
  </si>
  <si>
    <t>BED</t>
  </si>
  <si>
    <t>Original Budget</t>
  </si>
  <si>
    <t>Actual</t>
  </si>
  <si>
    <t>Project Description</t>
  </si>
  <si>
    <t>% Expenditure Performance</t>
  </si>
  <si>
    <t>% Project Completion</t>
  </si>
  <si>
    <t>% Efficiency</t>
  </si>
  <si>
    <t>Programme</t>
  </si>
  <si>
    <t>KPI Outcome Indicator</t>
  </si>
  <si>
    <t>2025 Target</t>
  </si>
  <si>
    <t>2025 Actual</t>
  </si>
  <si>
    <t>% Effectiveness</t>
  </si>
  <si>
    <t>1.10</t>
  </si>
  <si>
    <t>1.30</t>
  </si>
  <si>
    <t>1.20</t>
  </si>
  <si>
    <t>1.50</t>
  </si>
  <si>
    <t>1.40</t>
  </si>
  <si>
    <t>Economic Code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</si>
  <si>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</si>
  <si>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</si>
  <si>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</si>
  <si>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</si>
  <si>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</si>
  <si>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</si>
  <si>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</si>
  <si>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</si>
  <si>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</si>
  <si>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</si>
  <si>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</si>
  <si>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</si>
  <si>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</si>
  <si>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</si>
  <si>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</si>
  <si>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</si>
  <si>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</si>
  <si>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</si>
  <si>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</si>
  <si>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</si>
  <si>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</si>
  <si>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</si>
  <si>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</si>
  <si>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</si>
  <si>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</si>
  <si>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</si>
  <si>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</si>
  <si>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</si>
  <si>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</si>
  <si>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</si>
  <si>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</si>
  <si>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</si>
  <si>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</si>
  <si>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</si>
  <si>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</si>
  <si>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</si>
  <si>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</si>
  <si>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</si>
  <si>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</si>
  <si>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</si>
  <si>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</si>
  <si>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</si>
  <si>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</si>
  <si>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</si>
  <si>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</si>
  <si>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</si>
  <si>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</si>
  <si>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</si>
  <si>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</si>
  <si>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</si>
  <si>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</si>
  <si>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</si>
  <si>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</si>
  <si>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</si>
  <si>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</si>
  <si>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</si>
  <si>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</si>
  <si>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</si>
  <si>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</si>
  <si>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</si>
  <si>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</si>
  <si>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</si>
  <si>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</si>
  <si>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</si>
  <si>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</si>
  <si>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</si>
  <si>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</si>
  <si>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</si>
  <si>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</si>
  <si>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</si>
  <si>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</si>
  <si>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</si>
  <si>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</si>
  <si>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</si>
  <si>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</si>
  <si>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</si>
  <si>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</si>
  <si>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</si>
  <si>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</si>
  <si>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</si>
  <si>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</si>
  <si>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</si>
  <si>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</si>
  <si>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</si>
  <si>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</si>
  <si>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</si>
  <si>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</si>
  <si>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</si>
  <si>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</si>
  <si>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</si>
  <si>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</si>
  <si>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</si>
  <si>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</si>
  <si>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</si>
  <si>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</si>
  <si>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</si>
  <si>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</si>
  <si>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</si>
  <si>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</si>
  <si>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Economy</t>
  </si>
  <si>
    <t>Efficiency</t>
  </si>
  <si>
    <t>Effectiveness</t>
  </si>
  <si>
    <t xml:space="preserve">Go to BIR Report G.1 and identify those line items for which Economy Analysis can be done </t>
  </si>
  <si>
    <t>Guidance</t>
  </si>
  <si>
    <t>Calibration</t>
  </si>
  <si>
    <t xml:space="preserve">% KPI Performance </t>
  </si>
  <si>
    <t>Enter the percentage completion of the project in  column F</t>
  </si>
  <si>
    <t>Hide Redundent rows before pasting to MS Word</t>
  </si>
  <si>
    <t>Provide narrative on what was procured with the funds spent under each economic line item in column F</t>
  </si>
  <si>
    <t>Provide narrative on implied unit costing based on what was procured and what was spent in column G</t>
  </si>
  <si>
    <t xml:space="preserve">The calculation of % performance in column H may need to be adjusted for any indicator that isnt based on "more is better". </t>
  </si>
  <si>
    <t>Evidence of project completion %, by S/N, should be entered into the Performance Audit Report document</t>
  </si>
  <si>
    <t>Evidence of what was procured, by S/N, should be entered into the Performance Audit Report document</t>
  </si>
  <si>
    <t>Evidence of KPI performance, by S/N, should be entered into the Performance Audit Report document</t>
  </si>
  <si>
    <t>Economic Code: BIR column A to Economy Analysis column B</t>
  </si>
  <si>
    <t>Economic Description: BIR column Bto Economy Analysis column C</t>
  </si>
  <si>
    <t>Original Budget: BIR column C to Economy Analysis column D</t>
  </si>
  <si>
    <t>Full Year Performance: BIR column F to Economy Analysis column E</t>
  </si>
  <si>
    <t>State</t>
  </si>
  <si>
    <t>PHC</t>
  </si>
  <si>
    <t>Abia</t>
  </si>
  <si>
    <t>Adamawa</t>
  </si>
  <si>
    <t>Akwa Ibom</t>
  </si>
  <si>
    <t>Anambra</t>
  </si>
  <si>
    <t>Bauchi</t>
  </si>
  <si>
    <t>Bayelsa</t>
  </si>
  <si>
    <t>Benue</t>
  </si>
  <si>
    <t>Borno</t>
  </si>
  <si>
    <t>Cross River</t>
  </si>
  <si>
    <t>Delta</t>
  </si>
  <si>
    <t>Ebonyi</t>
  </si>
  <si>
    <t>Edo</t>
  </si>
  <si>
    <t>Ekiti</t>
  </si>
  <si>
    <t>Enugu</t>
  </si>
  <si>
    <t>Gombe</t>
  </si>
  <si>
    <t>Imo</t>
  </si>
  <si>
    <t>Jigawa</t>
  </si>
  <si>
    <t>Kaduna</t>
  </si>
  <si>
    <t>Kano</t>
  </si>
  <si>
    <t>Katsina</t>
  </si>
  <si>
    <t>Kebbi</t>
  </si>
  <si>
    <t>Kogi</t>
  </si>
  <si>
    <t>Kwara</t>
  </si>
  <si>
    <t>Lagos</t>
  </si>
  <si>
    <t>Niger</t>
  </si>
  <si>
    <t>Ogun</t>
  </si>
  <si>
    <t>Ondo</t>
  </si>
  <si>
    <t>Osun</t>
  </si>
  <si>
    <t>Oyo</t>
  </si>
  <si>
    <t>Plateau</t>
  </si>
  <si>
    <t>Rivers</t>
  </si>
  <si>
    <t>Sokoto</t>
  </si>
  <si>
    <t>Taraba</t>
  </si>
  <si>
    <t>Yobe</t>
  </si>
  <si>
    <t>Zamfara</t>
  </si>
  <si>
    <t>Nasarawa</t>
  </si>
  <si>
    <t>FCT</t>
  </si>
  <si>
    <t>Wazobia</t>
  </si>
  <si>
    <t>Programme: MTSS column A to Effectiveness Analysis column B</t>
  </si>
  <si>
    <t>Output/Outcome KPI: MTSS column D to Effectiveness Analysis column C</t>
  </si>
  <si>
    <t>Go to the BIR Report G.4. For each programme identified in column B in the Effectiveness Analysis worksheet, find the corresponding row in the BIR report (using the 6-digit programme code)</t>
  </si>
  <si>
    <t>Copy the Original Budget and Full Year Performance figures from report G.4 and paste into the  Effectiveness Analysis worksheet as follows:</t>
  </si>
  <si>
    <t>Copy the Project Description, Original Budget and Full Year Performance figures from report C.5 and paste into the  Efficiency Analysis worksheet as follows:</t>
  </si>
  <si>
    <t>Copy the Economic Code, Economic Description, Original Budget and Full Year Performance figures from report G.1 and paste into the Economy Analysis worksheet as follows:</t>
  </si>
  <si>
    <t>Ensure that the % figures in row  55 are above 60%</t>
  </si>
  <si>
    <t>Project Description: BIR column B to Efficiency Analysis column B</t>
  </si>
  <si>
    <t>Original Budget: BIR column C to Efficiency Analysis column C</t>
  </si>
  <si>
    <t>Full Year Performance: BIR column F to Efficinecy Analysis column D</t>
  </si>
  <si>
    <t>Original Budget: BIR column C to Effectiveness Analysis column F</t>
  </si>
  <si>
    <t>Full Year Performance: BIR column F to Effectivness Analysis column F</t>
  </si>
  <si>
    <t>Fill in the actual performance for the KPI in column E</t>
  </si>
  <si>
    <t>procurement of working materials</t>
  </si>
  <si>
    <t xml:space="preserve">NUT.1 SBPs Promote school feeding programmes in all early child care and primary schools to improve nutritional status, learning capacities and enrollment/retention of school-age children through community participation </t>
  </si>
  <si>
    <t>Provision of Non Core Text Books (HAUSA,ISLAMIC STUDIES,ARABIC and PHE)</t>
  </si>
  <si>
    <t>Procurement of chalk</t>
  </si>
  <si>
    <t xml:space="preserve">Procurement of White Board Markers </t>
  </si>
  <si>
    <t>Procurement of prepared Lesson Plan for Literacy and Numeracy (Primary 1- 3)</t>
  </si>
  <si>
    <t>Provision of Instructional Materials. Eg (BB/Ruler, Pencil, Eraser)</t>
  </si>
  <si>
    <t>Training of Master trainers, Step down Training to Teachers of P5 and P6</t>
  </si>
  <si>
    <t>Staff Capacity Building on various Professions</t>
  </si>
  <si>
    <t>Constructions of New Classrooms</t>
  </si>
  <si>
    <t>Procurements of Pupils Furniture of the newly Constructed Classrooms</t>
  </si>
  <si>
    <t>Renovation Of100 Classrooms across the State</t>
  </si>
  <si>
    <t>maintenance of office buildings</t>
  </si>
  <si>
    <t>Construction of 2 Hostels for Boys and Girls at Tarda</t>
  </si>
  <si>
    <t>Renovation of Falgore Central Primary School and provision of furniture in Rogo LGA</t>
  </si>
  <si>
    <t>Construction of 2No. 4 Classrooms Story Block with office and Store at GGSSS, Permanent Site, Massu in Sumaila LGA</t>
  </si>
  <si>
    <t>Construction of Office Building at Kano Municipal LEA.</t>
  </si>
  <si>
    <t>Completion of additional 4 Classroom upstairs at Proposed Jaba Primary School in Fagge LGA</t>
  </si>
  <si>
    <t>Provision of School Furnitures for Primary at Ungogo, Kabo, Kiru, Shanono,Rogo, Kibiya, Madobi Kumbotso, R/Gado,Albasu, Kumbotso, Warawa &amp; Gabasawa LGAs</t>
  </si>
  <si>
    <t>Provision of Non Core Text Books (HAUSA,ISLAMIC STUDIES, ARABIC) and PHE</t>
  </si>
  <si>
    <t>Procurement of Science Kits</t>
  </si>
  <si>
    <t>PERSONNEL COST</t>
  </si>
  <si>
    <t>OTHER RECURRENT COST</t>
  </si>
  <si>
    <t>CAPITAL EXPENDITURE</t>
  </si>
  <si>
    <t>The amount was paid to 3620 newly employed teachers</t>
  </si>
  <si>
    <t>The money was used for the general running of the office</t>
  </si>
  <si>
    <t>The money was used for new construction, renovations &amp; others</t>
  </si>
  <si>
    <t>The implied unit cost of 3620 teachers out of 324061.48 will be 89,519.61</t>
  </si>
  <si>
    <t>The sum of 10,980.00 is the monthly ipmlied unitt costs out of the 131766.70 spent</t>
  </si>
  <si>
    <t>Sensitization, Mobilization and Advocacy Exercise, School feeding Programme and Conditional Cash Transfer</t>
  </si>
  <si>
    <t>To Reduce the number of Out of School Children by 70% by 2025</t>
  </si>
  <si>
    <t>Achieve Access Increase in Public JSS   from 46%  in 2023 to 60% by 2026</t>
  </si>
  <si>
    <t>Achieve Increase in Public Pre - Primary Net  Enrolment Rate from 50% in 2022 to 65%  by 2026</t>
  </si>
  <si>
    <t>Community Sensitization, Mobilization and Advocacy, provision of girls scholarship</t>
  </si>
  <si>
    <t>Construction of More Classrooms, Mobilization and sensitization, Provision of incentive</t>
  </si>
  <si>
    <t>Achieve Access Increase in Public JSS   from 46% in 2023 to 60% by 2026</t>
  </si>
  <si>
    <t>Achieve increase GER in SS from 38% in 2023 to 50% by 2030</t>
  </si>
  <si>
    <t>Increase Literacy Rate Performance of Pupils in Primary from 26.6% to 50% by 2026</t>
  </si>
  <si>
    <t>Training and Retraining of Teachers, Provision of Teaching and Learning Materials, Reduce High Pupil Teacher Ratio</t>
  </si>
  <si>
    <t>Achieve Increase in Numeracy Rate Performance of Pupils in Primary  from 35 %  to 55% by 2026</t>
  </si>
  <si>
    <t>Recruiting Qualify Teachers, Continues capacity building of teachers, Publications of Sciences and Technological books as well as instructional materials, Students Coaching and Mentoring.</t>
  </si>
  <si>
    <t>Achieve increase in the proportion of post-basic students who pass out with requisite requirements in SSCE, WASCE and NABTEB certificates for transition to tertiary education from 75% to 90% by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</si>
</sst>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000000"/>
      <name val="Aptos"/>
      <family val="2"/>
    </font>
    <font>
      <sz val="9"/>
      <color rgb="FF000000"/>
      <name val="Aptos"/>
      <family val="2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sz val="11"/>
      <color theme="1"/>
      <name val="Tahoma"/>
      <family val="2"/>
    </font>
    <font>
      <sz val="11"/>
      <color rgb="FF000000"/>
      <name val="Tahoma"/>
      <family val="2"/>
    </font>
    <font>
      <sz val="11"/>
      <color rgb="FF262626"/>
      <name val="Tahoma"/>
      <family val="2"/>
    </font>
    <font>
      <sz val="9"/>
      <color rgb="FF000000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0" fillId="0" borderId="1" xfId="0" quotePrefix="1" applyBorder="1" applyAlignment="1">
      <alignment horizontal="right"/>
    </xf>
    <xf numFmtId="164" fontId="0" fillId="0" borderId="6" xfId="1" applyFont="1" applyBorder="1"/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164" fontId="0" fillId="0" borderId="1" xfId="1" applyFont="1" applyBorder="1" applyAlignment="1">
      <alignment horizontal="center"/>
    </xf>
    <xf numFmtId="0" fontId="3" fillId="0" borderId="0" xfId="0" applyFont="1"/>
    <xf numFmtId="0" fontId="6" fillId="0" borderId="0" xfId="0" applyFont="1" applyFill="1" applyBorder="1" applyAlignment="1">
      <alignment horizontal="left"/>
    </xf>
    <xf numFmtId="9" fontId="5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3" fontId="5" fillId="3" borderId="1" xfId="0" applyNumberFormat="1" applyFont="1" applyFill="1" applyBorder="1" applyAlignment="1" applyProtection="1">
      <alignment horizontal="right" vertical="center"/>
      <protection locked="0"/>
    </xf>
    <xf numFmtId="0" fontId="0" fillId="3" borderId="1" xfId="0" applyFill="1" applyBorder="1" applyProtection="1">
      <protection locked="0"/>
    </xf>
    <xf numFmtId="164" fontId="0" fillId="3" borderId="1" xfId="1" applyFont="1" applyFill="1" applyBorder="1" applyProtection="1">
      <protection locked="0"/>
    </xf>
    <xf numFmtId="0" fontId="0" fillId="3" borderId="1" xfId="0" quotePrefix="1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center"/>
      <protection locked="0"/>
    </xf>
    <xf numFmtId="164" fontId="0" fillId="3" borderId="1" xfId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indent="1"/>
    </xf>
    <xf numFmtId="9" fontId="5" fillId="0" borderId="1" xfId="2" applyFont="1" applyBorder="1" applyAlignment="1">
      <alignment horizontal="right" vertical="center" wrapText="1"/>
    </xf>
    <xf numFmtId="9" fontId="5" fillId="0" borderId="1" xfId="2" applyFont="1" applyBorder="1" applyAlignment="1">
      <alignment horizontal="center" vertical="center"/>
    </xf>
    <xf numFmtId="9" fontId="5" fillId="0" borderId="1" xfId="2" applyFont="1" applyBorder="1" applyAlignment="1">
      <alignment horizontal="right" vertical="center"/>
    </xf>
    <xf numFmtId="0" fontId="7" fillId="0" borderId="0" xfId="0" applyFont="1"/>
    <xf numFmtId="164" fontId="0" fillId="3" borderId="6" xfId="1" applyFont="1" applyFill="1" applyBorder="1" applyAlignment="1" applyProtection="1">
      <alignment horizontal="center"/>
      <protection locked="0"/>
    </xf>
    <xf numFmtId="0" fontId="6" fillId="0" borderId="1" xfId="0" applyFont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1" fillId="0" borderId="1" xfId="1" applyFont="1" applyBorder="1" applyAlignment="1">
      <alignment vertic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vertical="center" wrapText="1"/>
    </xf>
    <xf numFmtId="0" fontId="0" fillId="3" borderId="1" xfId="0" applyFill="1" applyBorder="1" applyAlignment="1" applyProtection="1">
      <alignment wrapText="1"/>
      <protection locked="0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9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1" fillId="3" borderId="1" xfId="0" applyNumberFormat="1" applyFont="1" applyFill="1" applyBorder="1" applyAlignment="1" applyProtection="1">
      <alignment horizontal="right" vertical="center"/>
      <protection locked="0"/>
    </xf>
    <xf numFmtId="9" fontId="11" fillId="0" borderId="1" xfId="2" applyFont="1" applyBorder="1" applyAlignment="1">
      <alignment horizontal="right" vertical="center" wrapText="1"/>
    </xf>
    <xf numFmtId="9" fontId="11" fillId="0" borderId="1" xfId="2" applyFont="1" applyBorder="1" applyAlignment="1">
      <alignment horizontal="center" vertical="center"/>
    </xf>
    <xf numFmtId="0" fontId="10" fillId="3" borderId="1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justify" vertical="center"/>
    </xf>
    <xf numFmtId="164" fontId="10" fillId="3" borderId="1" xfId="1" applyFont="1" applyFill="1" applyBorder="1" applyAlignment="1">
      <alignment vertical="center"/>
    </xf>
    <xf numFmtId="0" fontId="11" fillId="3" borderId="0" xfId="0" applyFont="1" applyFill="1"/>
    <xf numFmtId="0" fontId="10" fillId="3" borderId="1" xfId="0" applyFont="1" applyFill="1" applyBorder="1" applyAlignment="1">
      <alignment horizontal="right"/>
    </xf>
    <xf numFmtId="9" fontId="13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14" fillId="3" borderId="1" xfId="1" applyFont="1" applyFill="1" applyBorder="1" applyAlignment="1">
      <alignment vertical="center"/>
    </xf>
    <xf numFmtId="3" fontId="13" fillId="3" borderId="1" xfId="0" applyNumberFormat="1" applyFont="1" applyFill="1" applyBorder="1" applyAlignment="1" applyProtection="1">
      <alignment horizontal="right" vertical="center"/>
      <protection locked="0"/>
    </xf>
    <xf numFmtId="0" fontId="11" fillId="3" borderId="1" xfId="0" applyFont="1" applyFill="1" applyBorder="1" applyAlignment="1" applyProtection="1">
      <alignment vertical="center" wrapText="1"/>
      <protection locked="0"/>
    </xf>
    <xf numFmtId="0" fontId="10" fillId="3" borderId="1" xfId="0" applyFont="1" applyFill="1" applyBorder="1"/>
    <xf numFmtId="0" fontId="12" fillId="3" borderId="1" xfId="0" applyFont="1" applyFill="1" applyBorder="1" applyAlignment="1">
      <alignment horizontal="justify" vertical="center"/>
    </xf>
    <xf numFmtId="0" fontId="11" fillId="3" borderId="1" xfId="0" applyFont="1" applyFill="1" applyBorder="1"/>
    <xf numFmtId="9" fontId="11" fillId="3" borderId="1" xfId="2" applyFont="1" applyFill="1" applyBorder="1" applyAlignment="1">
      <alignment horizontal="right" vertical="center" wrapText="1"/>
    </xf>
    <xf numFmtId="9" fontId="11" fillId="3" borderId="1" xfId="2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11" fillId="3" borderId="1" xfId="0" applyFont="1" applyFill="1" applyBorder="1" applyAlignment="1">
      <alignment horizontal="justify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105F-7ACC-4918-8E74-3351125D8296}">
  <dimension ref="A1:B48"/>
  <sheetViews>
    <sheetView topLeftCell="A20" workbookViewId="0">
      <selection activeCell="B8" sqref="B8"/>
    </sheetView>
  </sheetViews>
  <sheetFormatPr baseColWidth="10" defaultColWidth="8.83203125" defaultRowHeight="15"/>
  <cols>
    <col min="1" max="1" width="24" customWidth="1"/>
    <col min="2" max="2" width="24.6640625" style="1" customWidth="1"/>
    <col min="3" max="3" width="15.83203125" customWidth="1"/>
  </cols>
  <sheetData>
    <row r="1" spans="1:2">
      <c r="A1" s="33" t="s">
        <v>129</v>
      </c>
      <c r="B1" s="9"/>
    </row>
    <row r="2" spans="1:2">
      <c r="A2" s="31" t="s">
        <v>143</v>
      </c>
      <c r="B2" s="32" t="s">
        <v>163</v>
      </c>
    </row>
    <row r="3" spans="1:2">
      <c r="A3" s="5" t="s">
        <v>2</v>
      </c>
      <c r="B3" s="25">
        <v>2025</v>
      </c>
    </row>
    <row r="4" spans="1:2">
      <c r="A4" s="5" t="s">
        <v>6</v>
      </c>
      <c r="B4" s="25" t="s">
        <v>7</v>
      </c>
    </row>
    <row r="5" spans="1:2">
      <c r="A5" s="15" t="str">
        <f>B4&amp;" Recurrent Expenditure"</f>
        <v>BED Recurrent Expenditure</v>
      </c>
      <c r="B5" s="16"/>
    </row>
    <row r="6" spans="1:2">
      <c r="A6" s="14" t="s">
        <v>8</v>
      </c>
      <c r="B6" s="26">
        <v>493988</v>
      </c>
    </row>
    <row r="7" spans="1:2">
      <c r="A7" s="14" t="s">
        <v>9</v>
      </c>
      <c r="B7" s="26">
        <v>455828</v>
      </c>
    </row>
    <row r="8" spans="1:2">
      <c r="A8" s="15" t="str">
        <f>B4&amp;" Capital Expenditure"</f>
        <v>BED Capital Expenditure</v>
      </c>
      <c r="B8" s="16"/>
    </row>
    <row r="9" spans="1:2">
      <c r="A9" s="14" t="s">
        <v>8</v>
      </c>
      <c r="B9" s="26">
        <v>14635772.66</v>
      </c>
    </row>
    <row r="10" spans="1:2">
      <c r="A10" s="14" t="s">
        <v>9</v>
      </c>
      <c r="B10" s="26">
        <v>11967623</v>
      </c>
    </row>
    <row r="12" spans="1:2">
      <c r="A12" s="18" t="s">
        <v>128</v>
      </c>
    </row>
    <row r="13" spans="1:2">
      <c r="A13" s="17" t="s">
        <v>124</v>
      </c>
    </row>
    <row r="14" spans="1:2">
      <c r="A14" t="s">
        <v>127</v>
      </c>
    </row>
    <row r="15" spans="1:2">
      <c r="A15" t="s">
        <v>188</v>
      </c>
    </row>
    <row r="16" spans="1:2">
      <c r="A16" s="27" t="s">
        <v>139</v>
      </c>
    </row>
    <row r="17" spans="1:1">
      <c r="A17" s="27" t="s">
        <v>140</v>
      </c>
    </row>
    <row r="18" spans="1:1">
      <c r="A18" s="27" t="s">
        <v>141</v>
      </c>
    </row>
    <row r="19" spans="1:1">
      <c r="A19" s="27" t="s">
        <v>142</v>
      </c>
    </row>
    <row r="20" spans="1:1">
      <c r="A20" t="s">
        <v>133</v>
      </c>
    </row>
    <row r="21" spans="1:1">
      <c r="A21" t="s">
        <v>134</v>
      </c>
    </row>
    <row r="22" spans="1:1">
      <c r="A22" t="s">
        <v>132</v>
      </c>
    </row>
    <row r="23" spans="1:1">
      <c r="A23" t="s">
        <v>137</v>
      </c>
    </row>
    <row r="24" spans="1:1">
      <c r="A24" s="17" t="s">
        <v>125</v>
      </c>
    </row>
    <row r="25" spans="1:1">
      <c r="A25" t="str">
        <f>"Go to BIR Report C.5 and filter by "&amp;B4&amp;" sector. Identify those projects for which efficiency analysis can be done"</f>
        <v>Go to BIR Report C.5 and filter by BED sector. Identify those projects for which efficiency analysis can be done</v>
      </c>
    </row>
    <row r="26" spans="1:1">
      <c r="A26" t="s">
        <v>187</v>
      </c>
    </row>
    <row r="27" spans="1:1">
      <c r="A27" s="27" t="s">
        <v>190</v>
      </c>
    </row>
    <row r="28" spans="1:1">
      <c r="A28" s="27" t="s">
        <v>191</v>
      </c>
    </row>
    <row r="29" spans="1:1">
      <c r="A29" s="27" t="s">
        <v>192</v>
      </c>
    </row>
    <row r="30" spans="1:1">
      <c r="A30" t="s">
        <v>131</v>
      </c>
    </row>
    <row r="31" spans="1:1">
      <c r="A31" t="s">
        <v>189</v>
      </c>
    </row>
    <row r="32" spans="1:1">
      <c r="A32" t="s">
        <v>132</v>
      </c>
    </row>
    <row r="33" spans="1:1">
      <c r="A33" t="s">
        <v>136</v>
      </c>
    </row>
    <row r="34" spans="1:1">
      <c r="A34" s="17" t="s">
        <v>126</v>
      </c>
    </row>
    <row r="35" spans="1:1">
      <c r="A35" t="str">
        <f>"Go to the "&amp;IF(B4="BED","Education",IF(B4="PHC","Health",""))&amp;" Sector "&amp;B3&amp;" - "&amp;B3+2&amp;" MTSS, worksheet 3. KPI Idenitification"</f>
        <v>Go to the Education Sector 2025 - 2027 MTSS, worksheet 3. KPI Idenitification</v>
      </c>
    </row>
    <row r="36" spans="1:1">
      <c r="A36" t="str">
        <f>"Identify all those KPIs that are relevant to the "&amp;B4&amp;" Sector"</f>
        <v>Identify all those KPIs that are relevant to the BED Sector</v>
      </c>
    </row>
    <row r="37" spans="1:1">
      <c r="A37" t="str">
        <f>"Copy the Programme, Output/Outcome KPI Description and "&amp;B3&amp;" Target and paste into the Effectiveness Analysis worksheet as follows:"</f>
        <v>Copy the Programme, Output/Outcome KPI Description and 2025 Target and paste into the Effectiveness Analysis worksheet as follows:</v>
      </c>
    </row>
    <row r="38" spans="1:1">
      <c r="A38" s="27" t="s">
        <v>183</v>
      </c>
    </row>
    <row r="39" spans="1:1">
      <c r="A39" s="27" t="s">
        <v>184</v>
      </c>
    </row>
    <row r="40" spans="1:1">
      <c r="A40" s="27" t="str">
        <f>B3&amp;" Target: MTSS column G to Effectiveness Analysis column D"</f>
        <v>2025 Target: MTSS column G to Effectiveness Analysis column D</v>
      </c>
    </row>
    <row r="41" spans="1:1">
      <c r="A41" s="2" t="s">
        <v>185</v>
      </c>
    </row>
    <row r="42" spans="1:1">
      <c r="A42" t="s">
        <v>186</v>
      </c>
    </row>
    <row r="43" spans="1:1">
      <c r="A43" s="27" t="s">
        <v>193</v>
      </c>
    </row>
    <row r="44" spans="1:1">
      <c r="A44" s="27" t="s">
        <v>194</v>
      </c>
    </row>
    <row r="45" spans="1:1">
      <c r="A45" s="7" t="s">
        <v>195</v>
      </c>
    </row>
    <row r="46" spans="1:1">
      <c r="A46" t="s">
        <v>135</v>
      </c>
    </row>
    <row r="47" spans="1:1">
      <c r="A47" t="s">
        <v>132</v>
      </c>
    </row>
    <row r="48" spans="1:1">
      <c r="A48" t="s">
        <v>138</v>
      </c>
    </row>
  </sheetData>
  <sheetProtection sheet="1" objects="1" scenarios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F6764E7-B043-4005-9C8C-29D1028A3D1B}">
          <x14:formula1>
            <xm:f>Lookups!$A$2:$A$39</xm:f>
          </x14:formula1>
          <xm:sqref>B2</xm:sqref>
        </x14:dataValidation>
        <x14:dataValidation type="list" allowBlank="1" showInputMessage="1" showErrorMessage="1" xr:uid="{80E95E84-410A-426F-9E94-7E499A204679}">
          <x14:formula1>
            <xm:f>Lookups!$B$2:$B$28</xm:f>
          </x14:formula1>
          <xm:sqref>B3</xm:sqref>
        </x14:dataValidation>
        <x14:dataValidation type="list" allowBlank="1" showInputMessage="1" showErrorMessage="1" xr:uid="{2CCDD749-F846-4D92-8E5F-83AB24EA6A59}">
          <x14:formula1>
            <xm:f>Lookups!$C$2:$C$3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5E2F5-B885-4E04-8767-DFA3C2093B35}">
  <dimension ref="A1:G55"/>
  <sheetViews>
    <sheetView workbookViewId="0">
      <selection activeCell="G5" sqref="G5"/>
    </sheetView>
  </sheetViews>
  <sheetFormatPr baseColWidth="10" defaultColWidth="8.83203125" defaultRowHeight="15"/>
  <cols>
    <col min="1" max="1" width="6.1640625" customWidth="1"/>
    <col min="2" max="2" width="22.6640625" customWidth="1"/>
    <col min="3" max="3" width="44.6640625" customWidth="1"/>
    <col min="4" max="5" width="22.6640625" customWidth="1"/>
    <col min="6" max="7" width="44.6640625" customWidth="1"/>
  </cols>
  <sheetData>
    <row r="1" spans="1:7" ht="30" customHeight="1">
      <c r="A1" s="34" t="str">
        <f>Calibration!B2&amp;" State Government "&amp;Calibration!B3&amp;" "&amp;Calibration!B4&amp;" Sector Value for Money (Performance) Assessment - Economy Analysis "</f>
        <v xml:space="preserve">Kano State Government 2025 BED Sector Value for Money (Performance) Assessment - Economy Analysis </v>
      </c>
    </row>
    <row r="2" spans="1:7" ht="30" customHeight="1">
      <c r="A2" s="13" t="s">
        <v>0</v>
      </c>
      <c r="B2" s="13" t="s">
        <v>24</v>
      </c>
      <c r="C2" s="13" t="s">
        <v>1</v>
      </c>
      <c r="D2" s="6" t="str">
        <f>Calibration!B3&amp;" Original Budget"</f>
        <v>2025 Original Budget</v>
      </c>
      <c r="E2" s="6" t="s">
        <v>3</v>
      </c>
      <c r="F2" s="6" t="s">
        <v>4</v>
      </c>
      <c r="G2" s="6" t="s">
        <v>5</v>
      </c>
    </row>
    <row r="3" spans="1:7" ht="15" customHeight="1">
      <c r="A3" s="5">
        <v>1.1000000000000001</v>
      </c>
      <c r="B3" s="22">
        <v>21</v>
      </c>
      <c r="C3" s="22" t="s">
        <v>217</v>
      </c>
      <c r="D3" s="23">
        <v>383645</v>
      </c>
      <c r="E3" s="23">
        <v>324061.48</v>
      </c>
      <c r="F3" s="22" t="s">
        <v>220</v>
      </c>
      <c r="G3" s="22" t="s">
        <v>223</v>
      </c>
    </row>
    <row r="4" spans="1:7" ht="15" customHeight="1">
      <c r="A4" s="5">
        <v>1.2</v>
      </c>
      <c r="B4" s="22">
        <v>22</v>
      </c>
      <c r="C4" s="22" t="s">
        <v>218</v>
      </c>
      <c r="D4" s="23">
        <v>110343</v>
      </c>
      <c r="E4" s="23">
        <v>131766.70000000001</v>
      </c>
      <c r="F4" s="22" t="s">
        <v>221</v>
      </c>
      <c r="G4" s="22" t="s">
        <v>224</v>
      </c>
    </row>
    <row r="5" spans="1:7" ht="15" customHeight="1">
      <c r="A5" s="5">
        <v>1.3</v>
      </c>
      <c r="B5" s="22">
        <v>23</v>
      </c>
      <c r="C5" s="22" t="s">
        <v>219</v>
      </c>
      <c r="D5" s="23">
        <v>14635772.66</v>
      </c>
      <c r="E5" s="23">
        <v>11967623.199999999</v>
      </c>
      <c r="F5" s="22" t="s">
        <v>222</v>
      </c>
      <c r="G5" s="22"/>
    </row>
    <row r="6" spans="1:7" ht="15" customHeight="1">
      <c r="A6" s="5">
        <v>1.4</v>
      </c>
      <c r="B6" s="22"/>
      <c r="C6" s="22"/>
      <c r="D6" s="23"/>
      <c r="E6" s="23"/>
      <c r="F6" s="22"/>
      <c r="G6" s="22"/>
    </row>
    <row r="7" spans="1:7" ht="15" customHeight="1">
      <c r="A7" s="5">
        <v>1.5</v>
      </c>
      <c r="B7" s="22"/>
      <c r="C7" s="22"/>
      <c r="D7" s="23"/>
      <c r="E7" s="23"/>
      <c r="F7" s="22"/>
      <c r="G7" s="22"/>
    </row>
    <row r="8" spans="1:7" ht="15" customHeight="1">
      <c r="A8" s="5">
        <v>1.6</v>
      </c>
      <c r="B8" s="22"/>
      <c r="C8" s="22"/>
      <c r="D8" s="23"/>
      <c r="E8" s="23"/>
      <c r="F8" s="22"/>
      <c r="G8" s="22"/>
    </row>
    <row r="9" spans="1:7" ht="15" customHeight="1">
      <c r="A9" s="5">
        <v>1.7</v>
      </c>
      <c r="B9" s="22"/>
      <c r="C9" s="22"/>
      <c r="D9" s="23"/>
      <c r="E9" s="23"/>
      <c r="F9" s="22"/>
      <c r="G9" s="22"/>
    </row>
    <row r="10" spans="1:7" ht="15" customHeight="1">
      <c r="A10" s="5">
        <v>1.8</v>
      </c>
      <c r="B10" s="22"/>
      <c r="C10" s="22"/>
      <c r="D10" s="23"/>
      <c r="E10" s="23"/>
      <c r="F10" s="22"/>
      <c r="G10" s="22"/>
    </row>
    <row r="11" spans="1:7" ht="15" customHeight="1">
      <c r="A11" s="5">
        <v>1.9</v>
      </c>
      <c r="B11" s="22"/>
      <c r="C11" s="22"/>
      <c r="D11" s="23"/>
      <c r="E11" s="23"/>
      <c r="F11" s="22"/>
      <c r="G11" s="22"/>
    </row>
    <row r="12" spans="1:7" ht="15" customHeight="1">
      <c r="A12" s="11" t="s">
        <v>19</v>
      </c>
      <c r="B12" s="24"/>
      <c r="C12" s="22"/>
      <c r="D12" s="23"/>
      <c r="E12" s="23"/>
      <c r="F12" s="22"/>
      <c r="G12" s="22"/>
    </row>
    <row r="13" spans="1:7" ht="15" customHeight="1">
      <c r="A13" s="5">
        <v>1.1100000000000001</v>
      </c>
      <c r="B13" s="22"/>
      <c r="C13" s="22"/>
      <c r="D13" s="23"/>
      <c r="E13" s="23"/>
      <c r="F13" s="22"/>
      <c r="G13" s="22"/>
    </row>
    <row r="14" spans="1:7" ht="15" customHeight="1">
      <c r="A14" s="5">
        <v>1.1200000000000001</v>
      </c>
      <c r="B14" s="22"/>
      <c r="C14" s="22"/>
      <c r="D14" s="23"/>
      <c r="E14" s="23"/>
      <c r="F14" s="22"/>
      <c r="G14" s="22"/>
    </row>
    <row r="15" spans="1:7" ht="15" customHeight="1">
      <c r="A15" s="5">
        <v>1.1299999999999999</v>
      </c>
      <c r="B15" s="22"/>
      <c r="C15" s="22"/>
      <c r="D15" s="23"/>
      <c r="E15" s="23"/>
      <c r="F15" s="22"/>
      <c r="G15" s="22"/>
    </row>
    <row r="16" spans="1:7" ht="15" customHeight="1">
      <c r="A16" s="5">
        <v>1.1399999999999999</v>
      </c>
      <c r="B16" s="22"/>
      <c r="C16" s="22"/>
      <c r="D16" s="23"/>
      <c r="E16" s="23"/>
      <c r="F16" s="22"/>
      <c r="G16" s="22"/>
    </row>
    <row r="17" spans="1:7" ht="15" customHeight="1">
      <c r="A17" s="5">
        <v>1.1499999999999999</v>
      </c>
      <c r="B17" s="22"/>
      <c r="C17" s="22"/>
      <c r="D17" s="23"/>
      <c r="E17" s="23"/>
      <c r="F17" s="22"/>
      <c r="G17" s="22"/>
    </row>
    <row r="18" spans="1:7" ht="15" customHeight="1">
      <c r="A18" s="5">
        <v>1.1599999999999999</v>
      </c>
      <c r="B18" s="22"/>
      <c r="C18" s="22"/>
      <c r="D18" s="23"/>
      <c r="E18" s="23"/>
      <c r="F18" s="22"/>
      <c r="G18" s="22"/>
    </row>
    <row r="19" spans="1:7" ht="15" customHeight="1">
      <c r="A19" s="5">
        <v>1.17</v>
      </c>
      <c r="B19" s="22"/>
      <c r="C19" s="22"/>
      <c r="D19" s="23"/>
      <c r="E19" s="23"/>
      <c r="F19" s="22"/>
      <c r="G19" s="22"/>
    </row>
    <row r="20" spans="1:7" ht="15" customHeight="1">
      <c r="A20" s="5">
        <v>1.18</v>
      </c>
      <c r="B20" s="22"/>
      <c r="C20" s="22"/>
      <c r="D20" s="23"/>
      <c r="E20" s="23"/>
      <c r="F20" s="22"/>
      <c r="G20" s="22"/>
    </row>
    <row r="21" spans="1:7" ht="15" customHeight="1">
      <c r="A21" s="5">
        <v>1.19</v>
      </c>
      <c r="B21" s="22"/>
      <c r="C21" s="22"/>
      <c r="D21" s="23"/>
      <c r="E21" s="23"/>
      <c r="F21" s="22"/>
      <c r="G21" s="22"/>
    </row>
    <row r="22" spans="1:7" ht="15" customHeight="1">
      <c r="A22" s="11" t="s">
        <v>21</v>
      </c>
      <c r="B22" s="24"/>
      <c r="C22" s="22"/>
      <c r="D22" s="23"/>
      <c r="E22" s="23"/>
      <c r="F22" s="22"/>
      <c r="G22" s="22"/>
    </row>
    <row r="23" spans="1:7" ht="15" customHeight="1">
      <c r="A23" s="5">
        <v>1.21</v>
      </c>
      <c r="B23" s="22"/>
      <c r="C23" s="22"/>
      <c r="D23" s="23"/>
      <c r="E23" s="23"/>
      <c r="F23" s="22"/>
      <c r="G23" s="22"/>
    </row>
    <row r="24" spans="1:7" ht="15" customHeight="1">
      <c r="A24" s="5">
        <v>1.22</v>
      </c>
      <c r="B24" s="22"/>
      <c r="C24" s="22"/>
      <c r="D24" s="23"/>
      <c r="E24" s="23"/>
      <c r="F24" s="22"/>
      <c r="G24" s="22"/>
    </row>
    <row r="25" spans="1:7" ht="15" customHeight="1">
      <c r="A25" s="5">
        <v>1.23</v>
      </c>
      <c r="B25" s="22"/>
      <c r="C25" s="22"/>
      <c r="D25" s="23"/>
      <c r="E25" s="23"/>
      <c r="F25" s="22"/>
      <c r="G25" s="22"/>
    </row>
    <row r="26" spans="1:7" ht="15" customHeight="1">
      <c r="A26" s="5">
        <v>1.24</v>
      </c>
      <c r="B26" s="22"/>
      <c r="C26" s="22"/>
      <c r="D26" s="23"/>
      <c r="E26" s="23"/>
      <c r="F26" s="22"/>
      <c r="G26" s="22"/>
    </row>
    <row r="27" spans="1:7" ht="15" customHeight="1">
      <c r="A27" s="5">
        <v>1.25</v>
      </c>
      <c r="B27" s="22"/>
      <c r="C27" s="22"/>
      <c r="D27" s="23"/>
      <c r="E27" s="23"/>
      <c r="F27" s="22"/>
      <c r="G27" s="22"/>
    </row>
    <row r="28" spans="1:7" ht="15" customHeight="1">
      <c r="A28" s="5">
        <v>1.26</v>
      </c>
      <c r="B28" s="22"/>
      <c r="C28" s="22"/>
      <c r="D28" s="23"/>
      <c r="E28" s="23"/>
      <c r="F28" s="22"/>
      <c r="G28" s="22"/>
    </row>
    <row r="29" spans="1:7" ht="15" customHeight="1">
      <c r="A29" s="5">
        <v>1.27</v>
      </c>
      <c r="B29" s="22"/>
      <c r="C29" s="22"/>
      <c r="D29" s="23"/>
      <c r="E29" s="23"/>
      <c r="F29" s="22"/>
      <c r="G29" s="22"/>
    </row>
    <row r="30" spans="1:7" ht="15" customHeight="1">
      <c r="A30" s="5">
        <v>1.28</v>
      </c>
      <c r="B30" s="22"/>
      <c r="C30" s="22"/>
      <c r="D30" s="23"/>
      <c r="E30" s="23"/>
      <c r="F30" s="22"/>
      <c r="G30" s="22"/>
    </row>
    <row r="31" spans="1:7" ht="15" customHeight="1">
      <c r="A31" s="5">
        <v>1.29</v>
      </c>
      <c r="B31" s="22"/>
      <c r="C31" s="22"/>
      <c r="D31" s="23"/>
      <c r="E31" s="23"/>
      <c r="F31" s="22"/>
      <c r="G31" s="22"/>
    </row>
    <row r="32" spans="1:7" ht="15" customHeight="1">
      <c r="A32" s="11" t="s">
        <v>20</v>
      </c>
      <c r="B32" s="24"/>
      <c r="C32" s="22"/>
      <c r="D32" s="23"/>
      <c r="E32" s="23"/>
      <c r="F32" s="22"/>
      <c r="G32" s="22"/>
    </row>
    <row r="33" spans="1:7" ht="15" customHeight="1">
      <c r="A33" s="5">
        <v>1.31</v>
      </c>
      <c r="B33" s="22"/>
      <c r="C33" s="22"/>
      <c r="D33" s="23"/>
      <c r="E33" s="23"/>
      <c r="F33" s="22"/>
      <c r="G33" s="22"/>
    </row>
    <row r="34" spans="1:7" ht="15" customHeight="1">
      <c r="A34" s="5">
        <v>1.32</v>
      </c>
      <c r="B34" s="22"/>
      <c r="C34" s="22"/>
      <c r="D34" s="23"/>
      <c r="E34" s="23"/>
      <c r="F34" s="22"/>
      <c r="G34" s="22"/>
    </row>
    <row r="35" spans="1:7" ht="15" customHeight="1">
      <c r="A35" s="5">
        <v>1.33</v>
      </c>
      <c r="B35" s="22"/>
      <c r="C35" s="22"/>
      <c r="D35" s="23"/>
      <c r="E35" s="23"/>
      <c r="F35" s="22"/>
      <c r="G35" s="22"/>
    </row>
    <row r="36" spans="1:7" ht="15" customHeight="1">
      <c r="A36" s="5">
        <v>1.34</v>
      </c>
      <c r="B36" s="22"/>
      <c r="C36" s="22"/>
      <c r="D36" s="23"/>
      <c r="E36" s="23"/>
      <c r="F36" s="22"/>
      <c r="G36" s="22"/>
    </row>
    <row r="37" spans="1:7" ht="15" customHeight="1">
      <c r="A37" s="5">
        <v>1.35</v>
      </c>
      <c r="B37" s="22"/>
      <c r="C37" s="22"/>
      <c r="D37" s="23"/>
      <c r="E37" s="23"/>
      <c r="F37" s="22"/>
      <c r="G37" s="22"/>
    </row>
    <row r="38" spans="1:7" ht="15" customHeight="1">
      <c r="A38" s="5">
        <v>1.36</v>
      </c>
      <c r="B38" s="22"/>
      <c r="C38" s="22"/>
      <c r="D38" s="23"/>
      <c r="E38" s="23"/>
      <c r="F38" s="22"/>
      <c r="G38" s="22"/>
    </row>
    <row r="39" spans="1:7" ht="15" customHeight="1">
      <c r="A39" s="5">
        <v>1.37</v>
      </c>
      <c r="B39" s="22"/>
      <c r="C39" s="22"/>
      <c r="D39" s="23"/>
      <c r="E39" s="23"/>
      <c r="F39" s="22"/>
      <c r="G39" s="22"/>
    </row>
    <row r="40" spans="1:7" ht="15" customHeight="1">
      <c r="A40" s="5">
        <v>1.38</v>
      </c>
      <c r="B40" s="22"/>
      <c r="C40" s="22"/>
      <c r="D40" s="23"/>
      <c r="E40" s="23"/>
      <c r="F40" s="22"/>
      <c r="G40" s="22"/>
    </row>
    <row r="41" spans="1:7" ht="15" customHeight="1">
      <c r="A41" s="5">
        <v>1.39</v>
      </c>
      <c r="B41" s="22"/>
      <c r="C41" s="22"/>
      <c r="D41" s="23"/>
      <c r="E41" s="23"/>
      <c r="F41" s="22"/>
      <c r="G41" s="22"/>
    </row>
    <row r="42" spans="1:7" ht="15" customHeight="1">
      <c r="A42" s="11" t="s">
        <v>23</v>
      </c>
      <c r="B42" s="24"/>
      <c r="C42" s="22"/>
      <c r="D42" s="23"/>
      <c r="E42" s="23"/>
      <c r="F42" s="22"/>
      <c r="G42" s="22"/>
    </row>
    <row r="43" spans="1:7" ht="15" customHeight="1">
      <c r="A43" s="5">
        <v>1.41</v>
      </c>
      <c r="B43" s="22"/>
      <c r="C43" s="22"/>
      <c r="D43" s="23"/>
      <c r="E43" s="23"/>
      <c r="F43" s="22"/>
      <c r="G43" s="22"/>
    </row>
    <row r="44" spans="1:7" ht="15" customHeight="1">
      <c r="A44" s="5">
        <v>1.42</v>
      </c>
      <c r="B44" s="22"/>
      <c r="C44" s="22"/>
      <c r="D44" s="23"/>
      <c r="E44" s="23"/>
      <c r="F44" s="22"/>
      <c r="G44" s="22"/>
    </row>
    <row r="45" spans="1:7" ht="15" customHeight="1">
      <c r="A45" s="5">
        <v>1.43</v>
      </c>
      <c r="B45" s="22"/>
      <c r="C45" s="22"/>
      <c r="D45" s="23"/>
      <c r="E45" s="23"/>
      <c r="F45" s="22"/>
      <c r="G45" s="22"/>
    </row>
    <row r="46" spans="1:7" ht="15" customHeight="1">
      <c r="A46" s="5">
        <v>1.44</v>
      </c>
      <c r="B46" s="22"/>
      <c r="C46" s="22"/>
      <c r="D46" s="23"/>
      <c r="E46" s="23"/>
      <c r="F46" s="22"/>
      <c r="G46" s="22"/>
    </row>
    <row r="47" spans="1:7" ht="15" customHeight="1">
      <c r="A47" s="5">
        <v>1.45</v>
      </c>
      <c r="B47" s="22"/>
      <c r="C47" s="22"/>
      <c r="D47" s="23"/>
      <c r="E47" s="23"/>
      <c r="F47" s="22"/>
      <c r="G47" s="22"/>
    </row>
    <row r="48" spans="1:7" ht="15" customHeight="1">
      <c r="A48" s="5">
        <v>1.46</v>
      </c>
      <c r="B48" s="22"/>
      <c r="C48" s="22"/>
      <c r="D48" s="23"/>
      <c r="E48" s="23"/>
      <c r="F48" s="22"/>
      <c r="G48" s="22"/>
    </row>
    <row r="49" spans="1:7" ht="15" customHeight="1">
      <c r="A49" s="5">
        <v>1.47</v>
      </c>
      <c r="B49" s="22"/>
      <c r="C49" s="22"/>
      <c r="D49" s="23"/>
      <c r="E49" s="23"/>
      <c r="F49" s="22"/>
      <c r="G49" s="22"/>
    </row>
    <row r="50" spans="1:7" ht="15" customHeight="1">
      <c r="A50" s="5">
        <v>1.48</v>
      </c>
      <c r="B50" s="22"/>
      <c r="C50" s="22"/>
      <c r="D50" s="23"/>
      <c r="E50" s="23"/>
      <c r="F50" s="22"/>
      <c r="G50" s="22"/>
    </row>
    <row r="51" spans="1:7" ht="15" customHeight="1">
      <c r="A51" s="5">
        <v>1.49</v>
      </c>
      <c r="B51" s="22"/>
      <c r="C51" s="22"/>
      <c r="D51" s="23"/>
      <c r="E51" s="23"/>
      <c r="F51" s="22"/>
      <c r="G51" s="22"/>
    </row>
    <row r="52" spans="1:7" ht="15" customHeight="1">
      <c r="A52" s="11" t="s">
        <v>22</v>
      </c>
      <c r="B52" s="24"/>
      <c r="C52" s="22"/>
      <c r="D52" s="23"/>
      <c r="E52" s="23"/>
      <c r="F52" s="22"/>
      <c r="G52" s="22"/>
    </row>
    <row r="53" spans="1:7">
      <c r="A53" s="61" t="str">
        <f>"Value of "&amp;Calibration!B4&amp;" Recurrent Expenditure covered in Analysis"</f>
        <v>Value of BED Recurrent Expenditure covered in Analysis</v>
      </c>
      <c r="B53" s="62"/>
      <c r="C53" s="63"/>
      <c r="D53" s="10">
        <f>SUM(D3:D52)</f>
        <v>15129760.66</v>
      </c>
      <c r="E53" s="10">
        <f>SUM(E3:E52)</f>
        <v>12423451.379999999</v>
      </c>
    </row>
    <row r="54" spans="1:7">
      <c r="A54" s="61" t="str">
        <f>"Total "&amp;Calibration!B4&amp;" Recurrent Expenditure"</f>
        <v>Total BED Recurrent Expenditure</v>
      </c>
      <c r="B54" s="62"/>
      <c r="C54" s="63"/>
      <c r="D54" s="10">
        <f>Calibration!B7</f>
        <v>455828</v>
      </c>
      <c r="E54" s="10">
        <f>Calibration!B7</f>
        <v>455828</v>
      </c>
    </row>
    <row r="55" spans="1:7">
      <c r="A55" s="61" t="str">
        <f>"Proportion of "&amp;Calibration!B4&amp;" Recurrent Expendfiture Covered in Analysis"</f>
        <v>Proportion of BED Recurrent Expendfiture Covered in Analysis</v>
      </c>
      <c r="B55" s="62"/>
      <c r="C55" s="63"/>
      <c r="D55" s="10">
        <f>D53/D54</f>
        <v>33.1918194143405</v>
      </c>
      <c r="E55" s="10">
        <f>E53/E54</f>
        <v>27.25469119931202</v>
      </c>
    </row>
  </sheetData>
  <sheetProtection sheet="1" objects="1" scenarios="1" formatRows="0"/>
  <mergeCells count="3">
    <mergeCell ref="A53:C53"/>
    <mergeCell ref="A54:C54"/>
    <mergeCell ref="A55:C55"/>
  </mergeCells>
  <pageMargins left="0.7" right="0.7" top="0.75" bottom="0.75" header="0.3" footer="0.3"/>
  <ignoredErrors>
    <ignoredError sqref="A52 A12 A22 A32 A42" numberStoredAsText="1"/>
    <ignoredError sqref="D55:E5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05CA-EDC2-4B19-8D38-19ACF5F082CC}">
  <dimension ref="A1:G54"/>
  <sheetViews>
    <sheetView topLeftCell="A8" workbookViewId="0">
      <selection activeCell="D22" sqref="D22"/>
    </sheetView>
  </sheetViews>
  <sheetFormatPr baseColWidth="10" defaultColWidth="8.83203125" defaultRowHeight="15"/>
  <cols>
    <col min="1" max="1" width="6.1640625" customWidth="1"/>
    <col min="2" max="2" width="66.6640625" style="37" customWidth="1"/>
    <col min="3" max="3" width="16" customWidth="1"/>
    <col min="4" max="4" width="17.83203125" customWidth="1"/>
    <col min="5" max="7" width="11.6640625" customWidth="1"/>
  </cols>
  <sheetData>
    <row r="1" spans="1:7" ht="30" customHeight="1" thickBot="1">
      <c r="A1" s="34" t="str">
        <f>Calibration!B2&amp;" State Government "&amp;Calibration!B3&amp;" "&amp;Calibration!B4&amp;" Sector Value for Money (Performance) Assessment - Efficiency Analysis"</f>
        <v>Kano State Government 2025 BED Sector Value for Money (Performance) Assessment - Efficiency Analysis</v>
      </c>
    </row>
    <row r="2" spans="1:7" ht="30" customHeight="1">
      <c r="A2" s="3" t="s">
        <v>0</v>
      </c>
      <c r="B2" s="3" t="s">
        <v>10</v>
      </c>
      <c r="C2" s="4" t="str">
        <f>'Economy Analysis'!D2</f>
        <v>2025 Original Budget</v>
      </c>
      <c r="D2" s="4" t="str">
        <f>'Economy Analysis'!E2</f>
        <v>2025 Performance Full Year</v>
      </c>
      <c r="E2" s="4" t="s">
        <v>11</v>
      </c>
      <c r="F2" s="4" t="s">
        <v>12</v>
      </c>
      <c r="G2" s="4" t="s">
        <v>13</v>
      </c>
    </row>
    <row r="3" spans="1:7" ht="16">
      <c r="A3" s="8" t="s">
        <v>25</v>
      </c>
      <c r="B3" s="38" t="s">
        <v>196</v>
      </c>
      <c r="C3" s="36">
        <v>100000</v>
      </c>
      <c r="D3" s="36">
        <v>73637.084000000003</v>
      </c>
      <c r="E3" s="30">
        <f>IF(B3="","",D3/C3)</f>
        <v>0.73637083999999997</v>
      </c>
      <c r="F3" s="19">
        <v>1</v>
      </c>
      <c r="G3" s="28">
        <f>IF(E3="","",F3/E3)</f>
        <v>1.3580114063180448</v>
      </c>
    </row>
    <row r="4" spans="1:7" ht="48">
      <c r="A4" s="8" t="s">
        <v>26</v>
      </c>
      <c r="B4" s="38" t="s">
        <v>197</v>
      </c>
      <c r="C4" s="36">
        <v>1000000</v>
      </c>
      <c r="D4" s="36">
        <v>980000</v>
      </c>
      <c r="E4" s="30">
        <f t="shared" ref="E4:E51" si="0">IF(B4="","",D4/C4)</f>
        <v>0.98</v>
      </c>
      <c r="F4" s="19">
        <v>1</v>
      </c>
      <c r="G4" s="28">
        <f t="shared" ref="G4:G51" si="1">IF(E4="","",F4/E4)</f>
        <v>1.0204081632653061</v>
      </c>
    </row>
    <row r="5" spans="1:7" ht="32">
      <c r="A5" s="8" t="s">
        <v>27</v>
      </c>
      <c r="B5" s="38" t="s">
        <v>198</v>
      </c>
      <c r="C5" s="36">
        <v>75000</v>
      </c>
      <c r="D5" s="36">
        <v>75000</v>
      </c>
      <c r="E5" s="30">
        <f t="shared" si="0"/>
        <v>1</v>
      </c>
      <c r="F5" s="19">
        <v>1</v>
      </c>
      <c r="G5" s="28">
        <f t="shared" si="1"/>
        <v>1</v>
      </c>
    </row>
    <row r="6" spans="1:7" ht="16">
      <c r="A6" s="8" t="s">
        <v>28</v>
      </c>
      <c r="B6" s="38" t="s">
        <v>199</v>
      </c>
      <c r="C6" s="36">
        <v>150000</v>
      </c>
      <c r="D6" s="36">
        <v>131500</v>
      </c>
      <c r="E6" s="30">
        <f t="shared" si="0"/>
        <v>0.87666666666666671</v>
      </c>
      <c r="F6" s="19">
        <v>1</v>
      </c>
      <c r="G6" s="28">
        <f t="shared" si="1"/>
        <v>1.1406844106463878</v>
      </c>
    </row>
    <row r="7" spans="1:7" ht="16">
      <c r="A7" s="8" t="s">
        <v>29</v>
      </c>
      <c r="B7" s="38" t="s">
        <v>200</v>
      </c>
      <c r="C7" s="36">
        <v>73637.084450933398</v>
      </c>
      <c r="D7" s="36">
        <v>73637.084000000003</v>
      </c>
      <c r="E7" s="30">
        <f t="shared" si="0"/>
        <v>0.99999999387627314</v>
      </c>
      <c r="F7" s="19">
        <v>1</v>
      </c>
      <c r="G7" s="28">
        <f t="shared" si="1"/>
        <v>1.0000000061237269</v>
      </c>
    </row>
    <row r="8" spans="1:7" ht="32">
      <c r="A8" s="8" t="s">
        <v>30</v>
      </c>
      <c r="B8" s="38" t="s">
        <v>201</v>
      </c>
      <c r="C8" s="36">
        <v>240000</v>
      </c>
      <c r="D8" s="36">
        <v>194850</v>
      </c>
      <c r="E8" s="30">
        <f t="shared" si="0"/>
        <v>0.81187500000000001</v>
      </c>
      <c r="F8" s="19">
        <v>1</v>
      </c>
      <c r="G8" s="28">
        <f t="shared" si="1"/>
        <v>1.2317167051578137</v>
      </c>
    </row>
    <row r="9" spans="1:7" ht="16">
      <c r="A9" s="8" t="s">
        <v>31</v>
      </c>
      <c r="B9" s="38" t="s">
        <v>202</v>
      </c>
      <c r="C9" s="36">
        <v>250000</v>
      </c>
      <c r="D9" s="36">
        <v>223480</v>
      </c>
      <c r="E9" s="30">
        <f t="shared" si="0"/>
        <v>0.89392000000000005</v>
      </c>
      <c r="F9" s="19">
        <v>1</v>
      </c>
      <c r="G9" s="28">
        <f t="shared" si="1"/>
        <v>1.1186683372113835</v>
      </c>
    </row>
    <row r="10" spans="1:7" ht="16">
      <c r="A10" s="8" t="s">
        <v>32</v>
      </c>
      <c r="B10" s="38" t="s">
        <v>203</v>
      </c>
      <c r="C10" s="36">
        <v>48000</v>
      </c>
      <c r="D10" s="36">
        <v>71250</v>
      </c>
      <c r="E10" s="30">
        <f t="shared" si="0"/>
        <v>1.484375</v>
      </c>
      <c r="F10" s="19">
        <v>1</v>
      </c>
      <c r="G10" s="28">
        <f t="shared" si="1"/>
        <v>0.67368421052631577</v>
      </c>
    </row>
    <row r="11" spans="1:7" ht="16">
      <c r="A11" s="8" t="s">
        <v>33</v>
      </c>
      <c r="B11" s="38" t="s">
        <v>204</v>
      </c>
      <c r="C11" s="36">
        <v>100000</v>
      </c>
      <c r="D11" s="36">
        <v>972540</v>
      </c>
      <c r="E11" s="30">
        <f>IF(B11="","",D11/C11)</f>
        <v>9.7254000000000005</v>
      </c>
      <c r="F11" s="19">
        <v>1</v>
      </c>
      <c r="G11" s="28">
        <f t="shared" si="1"/>
        <v>0.10282353425051925</v>
      </c>
    </row>
    <row r="12" spans="1:7" ht="16">
      <c r="A12" s="8" t="s">
        <v>34</v>
      </c>
      <c r="B12" s="38" t="s">
        <v>205</v>
      </c>
      <c r="C12" s="36">
        <v>3922098.6643599998</v>
      </c>
      <c r="D12" s="36">
        <f>4477485.73629-173579.91</f>
        <v>4303905.8262900002</v>
      </c>
      <c r="E12" s="30">
        <f t="shared" si="0"/>
        <v>1.0973476688384898</v>
      </c>
      <c r="F12" s="19">
        <v>0.6</v>
      </c>
      <c r="G12" s="28">
        <f t="shared" si="1"/>
        <v>0.54677292989110948</v>
      </c>
    </row>
    <row r="13" spans="1:7" ht="16">
      <c r="A13" s="8" t="s">
        <v>35</v>
      </c>
      <c r="B13" s="38" t="s">
        <v>206</v>
      </c>
      <c r="C13" s="36">
        <v>1380973.8159590682</v>
      </c>
      <c r="D13" s="36">
        <v>1350866.02</v>
      </c>
      <c r="E13" s="30">
        <f t="shared" si="0"/>
        <v>0.97819814133249239</v>
      </c>
      <c r="F13" s="19">
        <v>0.6</v>
      </c>
      <c r="G13" s="28">
        <f t="shared" si="1"/>
        <v>0.61337266413396119</v>
      </c>
    </row>
    <row r="14" spans="1:7" ht="16">
      <c r="A14" s="8" t="s">
        <v>36</v>
      </c>
      <c r="B14" s="38" t="s">
        <v>207</v>
      </c>
      <c r="C14" s="36">
        <v>1010928.51689</v>
      </c>
      <c r="D14" s="36">
        <v>1033718.765</v>
      </c>
      <c r="E14" s="30">
        <f t="shared" si="0"/>
        <v>1.0225438769697699</v>
      </c>
      <c r="F14" s="19">
        <v>0.62</v>
      </c>
      <c r="G14" s="28">
        <f t="shared" si="1"/>
        <v>0.60633094966772705</v>
      </c>
    </row>
    <row r="15" spans="1:7" ht="16">
      <c r="A15" s="8" t="s">
        <v>37</v>
      </c>
      <c r="B15" s="38" t="s">
        <v>208</v>
      </c>
      <c r="C15" s="36">
        <v>100000</v>
      </c>
      <c r="D15" s="36">
        <v>87250</v>
      </c>
      <c r="E15" s="30">
        <f t="shared" si="0"/>
        <v>0.87250000000000005</v>
      </c>
      <c r="F15" s="19">
        <v>1</v>
      </c>
      <c r="G15" s="28">
        <f t="shared" si="1"/>
        <v>1.1461318051575931</v>
      </c>
    </row>
    <row r="16" spans="1:7" ht="16">
      <c r="A16" s="8" t="s">
        <v>38</v>
      </c>
      <c r="B16" s="38" t="s">
        <v>209</v>
      </c>
      <c r="C16" s="36">
        <v>469205.24322</v>
      </c>
      <c r="D16" s="36">
        <v>345670</v>
      </c>
      <c r="E16" s="30">
        <f t="shared" si="0"/>
        <v>0.73671384750046998</v>
      </c>
      <c r="F16" s="19">
        <v>0.8</v>
      </c>
      <c r="G16" s="28">
        <f t="shared" si="1"/>
        <v>1.0859033025023868</v>
      </c>
    </row>
    <row r="17" spans="1:7" ht="32">
      <c r="A17" s="8" t="s">
        <v>39</v>
      </c>
      <c r="B17" s="38" t="s">
        <v>210</v>
      </c>
      <c r="C17" s="36">
        <v>200000</v>
      </c>
      <c r="D17" s="36">
        <v>167428.12400000001</v>
      </c>
      <c r="E17" s="30">
        <f t="shared" si="0"/>
        <v>0.83714062</v>
      </c>
      <c r="F17" s="19">
        <v>0.9</v>
      </c>
      <c r="G17" s="28">
        <f t="shared" si="1"/>
        <v>1.0750881972493462</v>
      </c>
    </row>
    <row r="18" spans="1:7" ht="32">
      <c r="A18" s="8" t="s">
        <v>40</v>
      </c>
      <c r="B18" s="38" t="s">
        <v>211</v>
      </c>
      <c r="C18" s="36">
        <v>251458.62922999999</v>
      </c>
      <c r="D18" s="36">
        <v>235470</v>
      </c>
      <c r="E18" s="30">
        <f t="shared" si="0"/>
        <v>0.93641646230650621</v>
      </c>
      <c r="F18" s="19">
        <v>0.85</v>
      </c>
      <c r="G18" s="28">
        <f t="shared" si="1"/>
        <v>0.90771578054741575</v>
      </c>
    </row>
    <row r="19" spans="1:7" ht="16">
      <c r="A19" s="8" t="s">
        <v>41</v>
      </c>
      <c r="B19" s="38" t="s">
        <v>212</v>
      </c>
      <c r="C19" s="36">
        <v>100000</v>
      </c>
      <c r="D19" s="36">
        <v>87657</v>
      </c>
      <c r="E19" s="30">
        <f t="shared" si="0"/>
        <v>0.87656999999999996</v>
      </c>
      <c r="F19" s="19">
        <v>0.9</v>
      </c>
      <c r="G19" s="28">
        <f t="shared" si="1"/>
        <v>1.0267291830658134</v>
      </c>
    </row>
    <row r="20" spans="1:7" ht="32">
      <c r="A20" s="8" t="s">
        <v>42</v>
      </c>
      <c r="B20" s="38" t="s">
        <v>213</v>
      </c>
      <c r="C20" s="36">
        <v>100000</v>
      </c>
      <c r="D20" s="36">
        <v>78950</v>
      </c>
      <c r="E20" s="30">
        <f t="shared" si="0"/>
        <v>0.78949999999999998</v>
      </c>
      <c r="F20" s="19">
        <v>0.9</v>
      </c>
      <c r="G20" s="28">
        <f t="shared" si="1"/>
        <v>1.1399620012666245</v>
      </c>
    </row>
    <row r="21" spans="1:7" ht="48">
      <c r="A21" s="8" t="s">
        <v>43</v>
      </c>
      <c r="B21" s="38" t="s">
        <v>214</v>
      </c>
      <c r="C21" s="36">
        <v>1000000</v>
      </c>
      <c r="D21" s="36">
        <v>969253.07021000003</v>
      </c>
      <c r="E21" s="30">
        <f t="shared" si="0"/>
        <v>0.96925307021000007</v>
      </c>
      <c r="F21" s="19">
        <v>0.85</v>
      </c>
      <c r="G21" s="28">
        <f t="shared" si="1"/>
        <v>0.87696394896725727</v>
      </c>
    </row>
    <row r="22" spans="1:7" ht="32">
      <c r="A22" s="8" t="s">
        <v>44</v>
      </c>
      <c r="B22" s="38" t="s">
        <v>215</v>
      </c>
      <c r="C22" s="36">
        <v>240000</v>
      </c>
      <c r="D22" s="36">
        <v>189560</v>
      </c>
      <c r="E22" s="30">
        <f t="shared" si="0"/>
        <v>0.78983333333333339</v>
      </c>
      <c r="F22" s="19">
        <v>1</v>
      </c>
      <c r="G22" s="28">
        <f t="shared" si="1"/>
        <v>1.2660898923823591</v>
      </c>
    </row>
    <row r="23" spans="1:7" ht="16">
      <c r="A23" s="8" t="s">
        <v>45</v>
      </c>
      <c r="B23" s="38" t="s">
        <v>216</v>
      </c>
      <c r="C23" s="36">
        <v>150000</v>
      </c>
      <c r="D23" s="36">
        <v>134785</v>
      </c>
      <c r="E23" s="30">
        <f t="shared" si="0"/>
        <v>0.89856666666666662</v>
      </c>
      <c r="F23" s="19">
        <v>1</v>
      </c>
      <c r="G23" s="28">
        <f t="shared" si="1"/>
        <v>1.1128834810995289</v>
      </c>
    </row>
    <row r="24" spans="1:7">
      <c r="A24" s="8" t="s">
        <v>46</v>
      </c>
      <c r="B24" s="39"/>
      <c r="C24" s="22"/>
      <c r="D24" s="22"/>
      <c r="E24" s="30" t="str">
        <f t="shared" si="0"/>
        <v/>
      </c>
      <c r="F24" s="19"/>
      <c r="G24" s="28" t="str">
        <f t="shared" si="1"/>
        <v/>
      </c>
    </row>
    <row r="25" spans="1:7">
      <c r="A25" s="8" t="s">
        <v>47</v>
      </c>
      <c r="B25" s="39"/>
      <c r="C25" s="22"/>
      <c r="D25" s="22"/>
      <c r="E25" s="30" t="str">
        <f t="shared" si="0"/>
        <v/>
      </c>
      <c r="F25" s="19"/>
      <c r="G25" s="28" t="str">
        <f t="shared" si="1"/>
        <v/>
      </c>
    </row>
    <row r="26" spans="1:7">
      <c r="A26" s="8" t="s">
        <v>48</v>
      </c>
      <c r="B26" s="39"/>
      <c r="C26" s="22"/>
      <c r="D26" s="22"/>
      <c r="E26" s="30" t="str">
        <f t="shared" si="0"/>
        <v/>
      </c>
      <c r="F26" s="19"/>
      <c r="G26" s="28" t="str">
        <f t="shared" si="1"/>
        <v/>
      </c>
    </row>
    <row r="27" spans="1:7">
      <c r="A27" s="8" t="s">
        <v>49</v>
      </c>
      <c r="B27" s="39"/>
      <c r="C27" s="22"/>
      <c r="D27" s="22"/>
      <c r="E27" s="30" t="str">
        <f t="shared" si="0"/>
        <v/>
      </c>
      <c r="F27" s="19"/>
      <c r="G27" s="28" t="str">
        <f t="shared" si="1"/>
        <v/>
      </c>
    </row>
    <row r="28" spans="1:7">
      <c r="A28" s="8" t="s">
        <v>50</v>
      </c>
      <c r="B28" s="39"/>
      <c r="C28" s="22"/>
      <c r="D28" s="22"/>
      <c r="E28" s="30" t="str">
        <f t="shared" si="0"/>
        <v/>
      </c>
      <c r="F28" s="19"/>
      <c r="G28" s="28" t="str">
        <f t="shared" si="1"/>
        <v/>
      </c>
    </row>
    <row r="29" spans="1:7">
      <c r="A29" s="8" t="s">
        <v>51</v>
      </c>
      <c r="B29" s="39"/>
      <c r="C29" s="22"/>
      <c r="D29" s="22"/>
      <c r="E29" s="30" t="str">
        <f t="shared" si="0"/>
        <v/>
      </c>
      <c r="F29" s="19"/>
      <c r="G29" s="28" t="str">
        <f t="shared" si="1"/>
        <v/>
      </c>
    </row>
    <row r="30" spans="1:7">
      <c r="A30" s="8" t="s">
        <v>52</v>
      </c>
      <c r="B30" s="39"/>
      <c r="C30" s="22"/>
      <c r="D30" s="22"/>
      <c r="E30" s="30" t="str">
        <f t="shared" si="0"/>
        <v/>
      </c>
      <c r="F30" s="19"/>
      <c r="G30" s="28" t="str">
        <f t="shared" si="1"/>
        <v/>
      </c>
    </row>
    <row r="31" spans="1:7">
      <c r="A31" s="8" t="s">
        <v>53</v>
      </c>
      <c r="B31" s="39"/>
      <c r="C31" s="22"/>
      <c r="D31" s="22"/>
      <c r="E31" s="30" t="str">
        <f t="shared" si="0"/>
        <v/>
      </c>
      <c r="F31" s="19"/>
      <c r="G31" s="28" t="str">
        <f t="shared" si="1"/>
        <v/>
      </c>
    </row>
    <row r="32" spans="1:7">
      <c r="A32" s="8" t="s">
        <v>54</v>
      </c>
      <c r="B32" s="39"/>
      <c r="C32" s="22"/>
      <c r="D32" s="22"/>
      <c r="E32" s="30" t="str">
        <f t="shared" si="0"/>
        <v/>
      </c>
      <c r="F32" s="19"/>
      <c r="G32" s="28" t="str">
        <f t="shared" si="1"/>
        <v/>
      </c>
    </row>
    <row r="33" spans="1:7">
      <c r="A33" s="8" t="s">
        <v>55</v>
      </c>
      <c r="B33" s="39"/>
      <c r="C33" s="22"/>
      <c r="D33" s="22"/>
      <c r="E33" s="30" t="str">
        <f t="shared" si="0"/>
        <v/>
      </c>
      <c r="F33" s="19"/>
      <c r="G33" s="28" t="str">
        <f t="shared" si="1"/>
        <v/>
      </c>
    </row>
    <row r="34" spans="1:7">
      <c r="A34" s="8" t="s">
        <v>56</v>
      </c>
      <c r="B34" s="39"/>
      <c r="C34" s="22"/>
      <c r="D34" s="22"/>
      <c r="E34" s="30" t="str">
        <f t="shared" si="0"/>
        <v/>
      </c>
      <c r="F34" s="19"/>
      <c r="G34" s="28" t="str">
        <f t="shared" si="1"/>
        <v/>
      </c>
    </row>
    <row r="35" spans="1:7">
      <c r="A35" s="8" t="s">
        <v>57</v>
      </c>
      <c r="B35" s="39"/>
      <c r="C35" s="22"/>
      <c r="D35" s="22"/>
      <c r="E35" s="30" t="str">
        <f t="shared" si="0"/>
        <v/>
      </c>
      <c r="F35" s="19"/>
      <c r="G35" s="28" t="str">
        <f t="shared" si="1"/>
        <v/>
      </c>
    </row>
    <row r="36" spans="1:7">
      <c r="A36" s="8" t="s">
        <v>58</v>
      </c>
      <c r="B36" s="39"/>
      <c r="C36" s="22"/>
      <c r="D36" s="22"/>
      <c r="E36" s="30" t="str">
        <f t="shared" si="0"/>
        <v/>
      </c>
      <c r="F36" s="19"/>
      <c r="G36" s="28" t="str">
        <f t="shared" si="1"/>
        <v/>
      </c>
    </row>
    <row r="37" spans="1:7">
      <c r="A37" s="8" t="s">
        <v>59</v>
      </c>
      <c r="B37" s="39"/>
      <c r="C37" s="22"/>
      <c r="D37" s="22"/>
      <c r="E37" s="30" t="str">
        <f t="shared" si="0"/>
        <v/>
      </c>
      <c r="F37" s="19"/>
      <c r="G37" s="28" t="str">
        <f t="shared" si="1"/>
        <v/>
      </c>
    </row>
    <row r="38" spans="1:7">
      <c r="A38" s="8" t="s">
        <v>60</v>
      </c>
      <c r="B38" s="39"/>
      <c r="C38" s="22"/>
      <c r="D38" s="22"/>
      <c r="E38" s="30" t="str">
        <f t="shared" si="0"/>
        <v/>
      </c>
      <c r="F38" s="19"/>
      <c r="G38" s="28" t="str">
        <f t="shared" si="1"/>
        <v/>
      </c>
    </row>
    <row r="39" spans="1:7">
      <c r="A39" s="8" t="s">
        <v>61</v>
      </c>
      <c r="B39" s="39"/>
      <c r="C39" s="22"/>
      <c r="D39" s="22"/>
      <c r="E39" s="30" t="str">
        <f t="shared" si="0"/>
        <v/>
      </c>
      <c r="F39" s="19"/>
      <c r="G39" s="28" t="str">
        <f t="shared" si="1"/>
        <v/>
      </c>
    </row>
    <row r="40" spans="1:7">
      <c r="A40" s="8" t="s">
        <v>62</v>
      </c>
      <c r="B40" s="39"/>
      <c r="C40" s="22"/>
      <c r="D40" s="22"/>
      <c r="E40" s="30" t="str">
        <f t="shared" si="0"/>
        <v/>
      </c>
      <c r="F40" s="19"/>
      <c r="G40" s="28" t="str">
        <f t="shared" si="1"/>
        <v/>
      </c>
    </row>
    <row r="41" spans="1:7">
      <c r="A41" s="8" t="s">
        <v>63</v>
      </c>
      <c r="B41" s="39"/>
      <c r="C41" s="22"/>
      <c r="D41" s="22"/>
      <c r="E41" s="30" t="str">
        <f t="shared" si="0"/>
        <v/>
      </c>
      <c r="F41" s="19"/>
      <c r="G41" s="28" t="str">
        <f t="shared" si="1"/>
        <v/>
      </c>
    </row>
    <row r="42" spans="1:7">
      <c r="A42" s="8" t="s">
        <v>64</v>
      </c>
      <c r="B42" s="39"/>
      <c r="C42" s="22"/>
      <c r="D42" s="22"/>
      <c r="E42" s="30" t="str">
        <f t="shared" si="0"/>
        <v/>
      </c>
      <c r="F42" s="19"/>
      <c r="G42" s="28" t="str">
        <f t="shared" si="1"/>
        <v/>
      </c>
    </row>
    <row r="43" spans="1:7">
      <c r="A43" s="8" t="s">
        <v>65</v>
      </c>
      <c r="B43" s="39"/>
      <c r="C43" s="22"/>
      <c r="D43" s="22"/>
      <c r="E43" s="30" t="str">
        <f t="shared" si="0"/>
        <v/>
      </c>
      <c r="F43" s="19"/>
      <c r="G43" s="28" t="str">
        <f t="shared" si="1"/>
        <v/>
      </c>
    </row>
    <row r="44" spans="1:7">
      <c r="A44" s="8" t="s">
        <v>66</v>
      </c>
      <c r="B44" s="39"/>
      <c r="C44" s="22"/>
      <c r="D44" s="22"/>
      <c r="E44" s="30" t="str">
        <f t="shared" si="0"/>
        <v/>
      </c>
      <c r="F44" s="19"/>
      <c r="G44" s="28" t="str">
        <f t="shared" si="1"/>
        <v/>
      </c>
    </row>
    <row r="45" spans="1:7">
      <c r="A45" s="8" t="s">
        <v>67</v>
      </c>
      <c r="B45" s="39"/>
      <c r="C45" s="22"/>
      <c r="D45" s="22"/>
      <c r="E45" s="30" t="str">
        <f t="shared" si="0"/>
        <v/>
      </c>
      <c r="F45" s="19"/>
      <c r="G45" s="28" t="str">
        <f t="shared" si="1"/>
        <v/>
      </c>
    </row>
    <row r="46" spans="1:7">
      <c r="A46" s="8" t="s">
        <v>68</v>
      </c>
      <c r="B46" s="39"/>
      <c r="C46" s="22"/>
      <c r="D46" s="22"/>
      <c r="E46" s="30" t="str">
        <f t="shared" si="0"/>
        <v/>
      </c>
      <c r="F46" s="19"/>
      <c r="G46" s="28" t="str">
        <f t="shared" si="1"/>
        <v/>
      </c>
    </row>
    <row r="47" spans="1:7">
      <c r="A47" s="8" t="s">
        <v>69</v>
      </c>
      <c r="B47" s="39"/>
      <c r="C47" s="22"/>
      <c r="D47" s="22"/>
      <c r="E47" s="30" t="str">
        <f t="shared" si="0"/>
        <v/>
      </c>
      <c r="F47" s="19"/>
      <c r="G47" s="28" t="str">
        <f t="shared" si="1"/>
        <v/>
      </c>
    </row>
    <row r="48" spans="1:7">
      <c r="A48" s="8" t="s">
        <v>70</v>
      </c>
      <c r="B48" s="39"/>
      <c r="C48" s="22"/>
      <c r="D48" s="22"/>
      <c r="E48" s="30" t="str">
        <f t="shared" si="0"/>
        <v/>
      </c>
      <c r="F48" s="19"/>
      <c r="G48" s="28" t="str">
        <f t="shared" si="1"/>
        <v/>
      </c>
    </row>
    <row r="49" spans="1:7">
      <c r="A49" s="8" t="s">
        <v>71</v>
      </c>
      <c r="B49" s="39"/>
      <c r="C49" s="22"/>
      <c r="D49" s="22"/>
      <c r="E49" s="30" t="str">
        <f t="shared" si="0"/>
        <v/>
      </c>
      <c r="F49" s="19"/>
      <c r="G49" s="28" t="str">
        <f t="shared" si="1"/>
        <v/>
      </c>
    </row>
    <row r="50" spans="1:7">
      <c r="A50" s="8" t="s">
        <v>72</v>
      </c>
      <c r="B50" s="39"/>
      <c r="C50" s="22"/>
      <c r="D50" s="22"/>
      <c r="E50" s="30" t="str">
        <f t="shared" si="0"/>
        <v/>
      </c>
      <c r="F50" s="19"/>
      <c r="G50" s="28" t="str">
        <f t="shared" si="1"/>
        <v/>
      </c>
    </row>
    <row r="51" spans="1:7">
      <c r="A51" s="8" t="s">
        <v>73</v>
      </c>
      <c r="B51" s="39"/>
      <c r="C51" s="22"/>
      <c r="D51" s="22"/>
      <c r="E51" s="30" t="str">
        <f t="shared" si="0"/>
        <v/>
      </c>
      <c r="F51" s="19"/>
      <c r="G51" s="28" t="str">
        <f t="shared" si="1"/>
        <v/>
      </c>
    </row>
    <row r="52" spans="1:7">
      <c r="A52" s="61" t="str">
        <f>"Value of "&amp;Calibration!B4&amp;" Capital Expenditure covered in Analysis"</f>
        <v>Value of BED Capital Expenditure covered in Analysis</v>
      </c>
      <c r="B52" s="62"/>
      <c r="C52" s="10">
        <f>SUM(C3:C51)</f>
        <v>10961301.95411</v>
      </c>
      <c r="D52" s="10">
        <f>SUM(D3:D51)</f>
        <v>11780407.9735</v>
      </c>
    </row>
    <row r="53" spans="1:7">
      <c r="A53" s="61" t="str">
        <f>"Total "&amp;Calibration!B4&amp;" Capital Expenditure"</f>
        <v>Total BED Capital Expenditure</v>
      </c>
      <c r="B53" s="62"/>
      <c r="C53" s="10">
        <f>+Calibration!B9</f>
        <v>14635772.66</v>
      </c>
      <c r="D53" s="10">
        <f>Calibration!B10</f>
        <v>11967623</v>
      </c>
    </row>
    <row r="54" spans="1:7">
      <c r="A54" s="61" t="str">
        <f>"Proportion of "&amp;Calibration!B4&amp;" Capital Expendfiture Covered in Analysis"</f>
        <v>Proportion of BED Capital Expendfiture Covered in Analysis</v>
      </c>
      <c r="B54" s="62"/>
      <c r="C54" s="10">
        <f>C52/C53</f>
        <v>0.74893906927562237</v>
      </c>
      <c r="D54" s="10">
        <f>D52/D53</f>
        <v>0.98435654043413634</v>
      </c>
    </row>
  </sheetData>
  <sheetProtection formatRows="0"/>
  <mergeCells count="3">
    <mergeCell ref="A52:B52"/>
    <mergeCell ref="A53:B53"/>
    <mergeCell ref="A54:B54"/>
  </mergeCells>
  <pageMargins left="0.7" right="0.7" top="0.75" bottom="0.75" header="0.3" footer="0.3"/>
  <ignoredErrors>
    <ignoredError sqref="A3:A12 A13:A51" numberStoredAsText="1"/>
    <ignoredError sqref="C54:D5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40381-A67D-4D71-94B2-DFE159D62A46}">
  <dimension ref="A1:K55"/>
  <sheetViews>
    <sheetView tabSelected="1" zoomScale="98" workbookViewId="0">
      <selection activeCell="C18" sqref="C18"/>
    </sheetView>
  </sheetViews>
  <sheetFormatPr baseColWidth="10" defaultColWidth="8.83203125" defaultRowHeight="15"/>
  <cols>
    <col min="1" max="1" width="6.1640625" customWidth="1"/>
    <col min="2" max="2" width="74.83203125" customWidth="1"/>
    <col min="3" max="3" width="42.5" customWidth="1"/>
    <col min="4" max="5" width="11.6640625" customWidth="1"/>
    <col min="6" max="7" width="22.6640625" customWidth="1"/>
    <col min="8" max="8" width="11.6640625" customWidth="1"/>
    <col min="9" max="9" width="11.6640625" style="1" customWidth="1"/>
    <col min="10" max="10" width="11.6640625" customWidth="1"/>
    <col min="11" max="11" width="0" hidden="1" customWidth="1"/>
  </cols>
  <sheetData>
    <row r="1" spans="1:11" ht="30" customHeight="1">
      <c r="A1" s="35" t="str">
        <f>Calibration!B2&amp;" State Government "&amp;Calibration!B3&amp;" "&amp;Calibration!B4&amp;" Sector Value for Money (Performance) Assessment - Effectiveness Analysis"</f>
        <v>Kano State Government 2025 BED Sector Value for Money (Performance) Assessment - Effectiveness Analysis</v>
      </c>
    </row>
    <row r="2" spans="1:11" ht="30" customHeight="1">
      <c r="A2" s="40" t="s">
        <v>0</v>
      </c>
      <c r="B2" s="40" t="s">
        <v>14</v>
      </c>
      <c r="C2" s="41" t="s">
        <v>15</v>
      </c>
      <c r="D2" s="41" t="s">
        <v>16</v>
      </c>
      <c r="E2" s="41" t="s">
        <v>17</v>
      </c>
      <c r="F2" s="41" t="str">
        <f>'Efficiency Analysis'!C2</f>
        <v>2025 Original Budget</v>
      </c>
      <c r="G2" s="41" t="str">
        <f>'Efficiency Analysis'!D2</f>
        <v>2025 Performance Full Year</v>
      </c>
      <c r="H2" s="6" t="s">
        <v>130</v>
      </c>
      <c r="I2" s="6" t="s">
        <v>11</v>
      </c>
      <c r="J2" s="6" t="s">
        <v>18</v>
      </c>
    </row>
    <row r="3" spans="1:11" ht="30">
      <c r="A3" s="50" t="s">
        <v>74</v>
      </c>
      <c r="B3" s="46" t="s">
        <v>225</v>
      </c>
      <c r="C3" s="47" t="s">
        <v>226</v>
      </c>
      <c r="D3" s="42">
        <v>0.7</v>
      </c>
      <c r="E3" s="42">
        <v>0.98</v>
      </c>
      <c r="F3" s="43">
        <v>1000000</v>
      </c>
      <c r="G3" s="43">
        <v>980000</v>
      </c>
      <c r="H3" s="44">
        <f t="shared" ref="H3:H34" si="0">IF(C3="","",E3/D3)</f>
        <v>1.4000000000000001</v>
      </c>
      <c r="I3" s="45">
        <f>IF(H3="","",G3/F3)</f>
        <v>0.98</v>
      </c>
      <c r="J3" s="44">
        <f>IF(H3="","",H3/I3)</f>
        <v>1.4285714285714288</v>
      </c>
      <c r="K3">
        <v>1</v>
      </c>
    </row>
    <row r="4" spans="1:11" ht="45">
      <c r="A4" s="50" t="s">
        <v>75</v>
      </c>
      <c r="B4" s="47" t="s">
        <v>227</v>
      </c>
      <c r="C4" s="47" t="s">
        <v>228</v>
      </c>
      <c r="D4" s="42">
        <v>0.65</v>
      </c>
      <c r="E4" s="42">
        <v>1.1000000000000001</v>
      </c>
      <c r="F4" s="48">
        <v>3922098.6643599998</v>
      </c>
      <c r="G4" s="48">
        <f>4477485.730629-173579.91</f>
        <v>4303905.8206289997</v>
      </c>
      <c r="H4" s="44">
        <f t="shared" si="0"/>
        <v>1.6923076923076923</v>
      </c>
      <c r="I4" s="45">
        <f t="shared" ref="I4:I52" si="1">IF(H4="","",G4/F4)</f>
        <v>1.0973476673951297</v>
      </c>
      <c r="J4" s="44">
        <f t="shared" ref="J4:J52" si="2">IF(H4="","",H4/I4)</f>
        <v>1.5421800606956877</v>
      </c>
      <c r="K4">
        <f>IF(COUNTIFS(B$3:B3,B4)&gt;1,0,1)</f>
        <v>1</v>
      </c>
    </row>
    <row r="5" spans="1:11">
      <c r="A5" s="50" t="s">
        <v>76</v>
      </c>
      <c r="B5" s="46" t="s">
        <v>229</v>
      </c>
      <c r="C5" s="64" t="s">
        <v>231</v>
      </c>
      <c r="D5" s="51">
        <v>0.6</v>
      </c>
      <c r="E5" s="51">
        <v>0.74</v>
      </c>
      <c r="F5" s="52">
        <v>100000</v>
      </c>
      <c r="G5" s="52">
        <v>73637.084000000003</v>
      </c>
      <c r="H5" s="44">
        <f t="shared" si="0"/>
        <v>1.2333333333333334</v>
      </c>
      <c r="I5" s="45">
        <f t="shared" si="1"/>
        <v>0.73637083999999997</v>
      </c>
      <c r="J5" s="44">
        <f t="shared" si="2"/>
        <v>1.674880734458922</v>
      </c>
      <c r="K5">
        <f>IF(COUNTIFS(B$3:B4,B5)&gt;1,0,1)</f>
        <v>1</v>
      </c>
    </row>
    <row r="6" spans="1:11">
      <c r="A6" s="50" t="s">
        <v>77</v>
      </c>
      <c r="B6" s="55"/>
      <c r="C6" s="64"/>
      <c r="D6" s="51"/>
      <c r="E6" s="51"/>
      <c r="F6" s="53"/>
      <c r="G6" s="53"/>
      <c r="H6" s="44" t="str">
        <f t="shared" si="0"/>
        <v/>
      </c>
      <c r="I6" s="45" t="str">
        <f t="shared" si="1"/>
        <v/>
      </c>
      <c r="J6" s="44" t="str">
        <f t="shared" si="2"/>
        <v/>
      </c>
      <c r="K6">
        <f>IF(COUNTIFS(B$3:B5,B6)&gt;1,0,1)</f>
        <v>1</v>
      </c>
    </row>
    <row r="7" spans="1:11" ht="30">
      <c r="A7" s="50" t="s">
        <v>78</v>
      </c>
      <c r="B7" s="55" t="s">
        <v>230</v>
      </c>
      <c r="C7" s="56" t="s">
        <v>232</v>
      </c>
      <c r="D7" s="51">
        <v>0.5</v>
      </c>
      <c r="E7" s="51">
        <v>0.94</v>
      </c>
      <c r="F7" s="52">
        <v>251458.62922999999</v>
      </c>
      <c r="G7" s="52">
        <v>235470</v>
      </c>
      <c r="H7" s="44">
        <f t="shared" si="0"/>
        <v>1.88</v>
      </c>
      <c r="I7" s="45">
        <f t="shared" si="1"/>
        <v>0.93641646230650621</v>
      </c>
      <c r="J7" s="44">
        <f t="shared" si="2"/>
        <v>2.0076537263872254</v>
      </c>
      <c r="K7">
        <f>IF(COUNTIFS(B$3:B6,B7)&gt;1,0,1)</f>
        <v>1</v>
      </c>
    </row>
    <row r="8" spans="1:11" ht="30">
      <c r="A8" s="50" t="s">
        <v>79</v>
      </c>
      <c r="B8" s="46" t="s">
        <v>234</v>
      </c>
      <c r="C8" s="57" t="s">
        <v>233</v>
      </c>
      <c r="D8" s="51">
        <v>0.5</v>
      </c>
      <c r="E8" s="51">
        <v>1.48</v>
      </c>
      <c r="F8" s="52">
        <v>48000</v>
      </c>
      <c r="G8" s="52">
        <v>71250</v>
      </c>
      <c r="H8" s="44">
        <f t="shared" si="0"/>
        <v>2.96</v>
      </c>
      <c r="I8" s="45">
        <f t="shared" si="1"/>
        <v>1.484375</v>
      </c>
      <c r="J8" s="44">
        <f t="shared" si="2"/>
        <v>1.9941052631578946</v>
      </c>
      <c r="K8">
        <f>IF(COUNTIFS(B$3:B7,B8)&gt;1,0,1)</f>
        <v>1</v>
      </c>
    </row>
    <row r="9" spans="1:11" ht="30">
      <c r="A9" s="50" t="s">
        <v>80</v>
      </c>
      <c r="B9" s="46" t="s">
        <v>234</v>
      </c>
      <c r="C9" s="54" t="s">
        <v>235</v>
      </c>
      <c r="D9" s="51">
        <v>0.55000000000000004</v>
      </c>
      <c r="E9" s="51">
        <v>9.73</v>
      </c>
      <c r="F9" s="52">
        <v>100000</v>
      </c>
      <c r="G9" s="52">
        <v>972540</v>
      </c>
      <c r="H9" s="44">
        <f>IF(C9="","",E9/D9)</f>
        <v>17.690909090909091</v>
      </c>
      <c r="I9" s="45">
        <f t="shared" si="1"/>
        <v>9.7254000000000005</v>
      </c>
      <c r="J9" s="44">
        <f t="shared" si="2"/>
        <v>1.8190417968319135</v>
      </c>
      <c r="K9">
        <f>IF(COUNTIFS(B$3:B8,B9)&gt;1,0,1)</f>
        <v>1</v>
      </c>
    </row>
    <row r="10" spans="1:11" ht="31" thickBot="1">
      <c r="A10" s="50" t="s">
        <v>81</v>
      </c>
      <c r="B10" s="55" t="s">
        <v>230</v>
      </c>
      <c r="C10" s="56" t="s">
        <v>232</v>
      </c>
      <c r="D10" s="42">
        <v>0.38</v>
      </c>
      <c r="E10" s="42">
        <v>0.74</v>
      </c>
      <c r="F10" s="48">
        <v>469205.24322</v>
      </c>
      <c r="G10" s="48">
        <v>345670</v>
      </c>
      <c r="H10" s="58">
        <f t="shared" si="0"/>
        <v>1.9473684210526316</v>
      </c>
      <c r="I10" s="59">
        <f t="shared" si="1"/>
        <v>0.73671384750046998</v>
      </c>
      <c r="J10" s="28">
        <f t="shared" si="2"/>
        <v>2.6433172495123887</v>
      </c>
      <c r="K10">
        <f>IF(COUNTIFS(B$3:B9,B10)&gt;1,0,1)</f>
        <v>1</v>
      </c>
    </row>
    <row r="11" spans="1:11" ht="46" thickBot="1">
      <c r="A11" s="8" t="s">
        <v>82</v>
      </c>
      <c r="B11" s="60" t="s">
        <v>236</v>
      </c>
      <c r="C11" s="49" t="s">
        <v>237</v>
      </c>
      <c r="D11" s="42">
        <v>0.75</v>
      </c>
      <c r="E11" s="42">
        <v>0.79</v>
      </c>
      <c r="F11" s="48">
        <v>240000</v>
      </c>
      <c r="G11" s="48">
        <v>189560</v>
      </c>
      <c r="H11" s="58">
        <f t="shared" si="0"/>
        <v>1.0533333333333335</v>
      </c>
      <c r="I11" s="59">
        <f t="shared" si="1"/>
        <v>0.78983333333333339</v>
      </c>
      <c r="J11" s="28">
        <f t="shared" si="2"/>
        <v>1.3336146866427516</v>
      </c>
      <c r="K11">
        <f>IF(COUNTIFS(B$3:B10,B11)&gt;1,0,1)</f>
        <v>1</v>
      </c>
    </row>
    <row r="12" spans="1:11">
      <c r="A12" s="8" t="s">
        <v>83</v>
      </c>
      <c r="B12" s="20"/>
      <c r="C12" s="20"/>
      <c r="D12" s="19"/>
      <c r="E12" s="19"/>
      <c r="F12" s="21"/>
      <c r="G12" s="21"/>
      <c r="H12" s="28" t="str">
        <f t="shared" si="0"/>
        <v/>
      </c>
      <c r="I12" s="29" t="str">
        <f t="shared" si="1"/>
        <v/>
      </c>
      <c r="J12" s="28" t="str">
        <f t="shared" si="2"/>
        <v/>
      </c>
      <c r="K12">
        <f>IF(COUNTIFS(B$3:B11,B12)&gt;1,0,1)</f>
        <v>1</v>
      </c>
    </row>
    <row r="13" spans="1:11">
      <c r="A13" s="8" t="s">
        <v>84</v>
      </c>
      <c r="B13" s="20"/>
      <c r="C13" s="20"/>
      <c r="D13" s="19"/>
      <c r="E13" s="19"/>
      <c r="F13" s="21"/>
      <c r="G13" s="21"/>
      <c r="H13" s="28" t="str">
        <f t="shared" si="0"/>
        <v/>
      </c>
      <c r="I13" s="29" t="str">
        <f t="shared" si="1"/>
        <v/>
      </c>
      <c r="J13" s="28" t="str">
        <f t="shared" si="2"/>
        <v/>
      </c>
      <c r="K13">
        <f>IF(COUNTIFS(B$3:B12,B13)&gt;1,0,1)</f>
        <v>1</v>
      </c>
    </row>
    <row r="14" spans="1:11">
      <c r="A14" s="8" t="s">
        <v>85</v>
      </c>
      <c r="B14" s="20"/>
      <c r="C14" s="20"/>
      <c r="D14" s="19"/>
      <c r="E14" s="19"/>
      <c r="F14" s="21"/>
      <c r="G14" s="21"/>
      <c r="H14" s="28" t="str">
        <f t="shared" si="0"/>
        <v/>
      </c>
      <c r="I14" s="29" t="str">
        <f t="shared" si="1"/>
        <v/>
      </c>
      <c r="J14" s="28" t="str">
        <f t="shared" si="2"/>
        <v/>
      </c>
      <c r="K14">
        <f>IF(COUNTIFS(B$3:B13,B14)&gt;1,0,1)</f>
        <v>1</v>
      </c>
    </row>
    <row r="15" spans="1:11">
      <c r="A15" s="8" t="s">
        <v>86</v>
      </c>
      <c r="B15" s="20"/>
      <c r="C15" s="20"/>
      <c r="D15" s="19"/>
      <c r="E15" s="19"/>
      <c r="F15" s="21"/>
      <c r="G15" s="21"/>
      <c r="H15" s="28" t="str">
        <f t="shared" si="0"/>
        <v/>
      </c>
      <c r="I15" s="29" t="str">
        <f t="shared" si="1"/>
        <v/>
      </c>
      <c r="J15" s="28" t="str">
        <f t="shared" si="2"/>
        <v/>
      </c>
      <c r="K15">
        <f>IF(COUNTIFS(B$3:B14,B15)&gt;1,0,1)</f>
        <v>1</v>
      </c>
    </row>
    <row r="16" spans="1:11">
      <c r="A16" s="8" t="s">
        <v>87</v>
      </c>
      <c r="B16" s="20"/>
      <c r="C16" s="20"/>
      <c r="D16" s="19"/>
      <c r="E16" s="19"/>
      <c r="F16" s="21"/>
      <c r="G16" s="21"/>
      <c r="H16" s="28" t="str">
        <f t="shared" si="0"/>
        <v/>
      </c>
      <c r="I16" s="29" t="str">
        <f t="shared" si="1"/>
        <v/>
      </c>
      <c r="J16" s="28" t="str">
        <f t="shared" si="2"/>
        <v/>
      </c>
      <c r="K16">
        <f>IF(COUNTIFS(B$3:B15,B16)&gt;1,0,1)</f>
        <v>1</v>
      </c>
    </row>
    <row r="17" spans="1:11">
      <c r="A17" s="8" t="s">
        <v>88</v>
      </c>
      <c r="B17" s="20"/>
      <c r="C17" s="20"/>
      <c r="D17" s="19"/>
      <c r="E17" s="19"/>
      <c r="F17" s="21"/>
      <c r="G17" s="21"/>
      <c r="H17" s="28" t="str">
        <f t="shared" si="0"/>
        <v/>
      </c>
      <c r="I17" s="29" t="str">
        <f t="shared" si="1"/>
        <v/>
      </c>
      <c r="J17" s="28" t="str">
        <f t="shared" si="2"/>
        <v/>
      </c>
      <c r="K17">
        <f>IF(COUNTIFS(B$3:B16,B17)&gt;1,0,1)</f>
        <v>1</v>
      </c>
    </row>
    <row r="18" spans="1:11">
      <c r="A18" s="8" t="s">
        <v>89</v>
      </c>
      <c r="B18" s="20"/>
      <c r="C18" s="20"/>
      <c r="D18" s="19"/>
      <c r="E18" s="19"/>
      <c r="F18" s="21"/>
      <c r="G18" s="21"/>
      <c r="H18" s="28" t="str">
        <f t="shared" si="0"/>
        <v/>
      </c>
      <c r="I18" s="29" t="str">
        <f t="shared" si="1"/>
        <v/>
      </c>
      <c r="J18" s="28" t="str">
        <f t="shared" si="2"/>
        <v/>
      </c>
      <c r="K18">
        <f>IF(COUNTIFS(B$3:B17,B18)&gt;1,0,1)</f>
        <v>1</v>
      </c>
    </row>
    <row r="19" spans="1:11">
      <c r="A19" s="8" t="s">
        <v>90</v>
      </c>
      <c r="B19" s="20"/>
      <c r="C19" s="20"/>
      <c r="D19" s="19"/>
      <c r="E19" s="19"/>
      <c r="F19" s="21"/>
      <c r="G19" s="21"/>
      <c r="H19" s="28" t="str">
        <f t="shared" si="0"/>
        <v/>
      </c>
      <c r="I19" s="29" t="str">
        <f t="shared" si="1"/>
        <v/>
      </c>
      <c r="J19" s="28" t="str">
        <f t="shared" si="2"/>
        <v/>
      </c>
      <c r="K19">
        <f>IF(COUNTIFS(B$3:B18,B19)&gt;1,0,1)</f>
        <v>1</v>
      </c>
    </row>
    <row r="20" spans="1:11">
      <c r="A20" s="8" t="s">
        <v>91</v>
      </c>
      <c r="B20" s="20"/>
      <c r="C20" s="20"/>
      <c r="D20" s="19"/>
      <c r="E20" s="19"/>
      <c r="F20" s="21"/>
      <c r="G20" s="21"/>
      <c r="H20" s="28" t="str">
        <f t="shared" si="0"/>
        <v/>
      </c>
      <c r="I20" s="29" t="str">
        <f t="shared" si="1"/>
        <v/>
      </c>
      <c r="J20" s="28" t="str">
        <f t="shared" si="2"/>
        <v/>
      </c>
      <c r="K20">
        <f>IF(COUNTIFS(B$3:B19,B20)&gt;1,0,1)</f>
        <v>1</v>
      </c>
    </row>
    <row r="21" spans="1:11">
      <c r="A21" s="8" t="s">
        <v>92</v>
      </c>
      <c r="B21" s="20"/>
      <c r="C21" s="20"/>
      <c r="D21" s="19"/>
      <c r="E21" s="19"/>
      <c r="F21" s="21"/>
      <c r="G21" s="21"/>
      <c r="H21" s="28" t="str">
        <f t="shared" si="0"/>
        <v/>
      </c>
      <c r="I21" s="29" t="str">
        <f t="shared" si="1"/>
        <v/>
      </c>
      <c r="J21" s="28" t="str">
        <f t="shared" si="2"/>
        <v/>
      </c>
      <c r="K21">
        <f>IF(COUNTIFS(B$3:B20,B21)&gt;1,0,1)</f>
        <v>1</v>
      </c>
    </row>
    <row r="22" spans="1:11">
      <c r="A22" s="8" t="s">
        <v>93</v>
      </c>
      <c r="B22" s="20"/>
      <c r="C22" s="20"/>
      <c r="D22" s="19"/>
      <c r="E22" s="19"/>
      <c r="F22" s="21"/>
      <c r="G22" s="21"/>
      <c r="H22" s="28" t="str">
        <f t="shared" si="0"/>
        <v/>
      </c>
      <c r="I22" s="29" t="str">
        <f t="shared" si="1"/>
        <v/>
      </c>
      <c r="J22" s="28" t="str">
        <f t="shared" si="2"/>
        <v/>
      </c>
      <c r="K22">
        <f>IF(COUNTIFS(B$3:B21,B22)&gt;1,0,1)</f>
        <v>1</v>
      </c>
    </row>
    <row r="23" spans="1:11">
      <c r="A23" s="8" t="s">
        <v>94</v>
      </c>
      <c r="B23" s="20"/>
      <c r="C23" s="20"/>
      <c r="D23" s="19"/>
      <c r="E23" s="19"/>
      <c r="F23" s="21"/>
      <c r="G23" s="21"/>
      <c r="H23" s="28" t="str">
        <f t="shared" si="0"/>
        <v/>
      </c>
      <c r="I23" s="29" t="str">
        <f t="shared" si="1"/>
        <v/>
      </c>
      <c r="J23" s="28" t="str">
        <f t="shared" si="2"/>
        <v/>
      </c>
      <c r="K23">
        <f>IF(COUNTIFS(B$3:B22,B23)&gt;1,0,1)</f>
        <v>1</v>
      </c>
    </row>
    <row r="24" spans="1:11">
      <c r="A24" s="8" t="s">
        <v>95</v>
      </c>
      <c r="B24" s="20"/>
      <c r="C24" s="20"/>
      <c r="D24" s="19"/>
      <c r="E24" s="19"/>
      <c r="F24" s="21"/>
      <c r="G24" s="21"/>
      <c r="H24" s="28" t="str">
        <f t="shared" si="0"/>
        <v/>
      </c>
      <c r="I24" s="29" t="str">
        <f t="shared" si="1"/>
        <v/>
      </c>
      <c r="J24" s="28" t="str">
        <f t="shared" si="2"/>
        <v/>
      </c>
      <c r="K24">
        <f>IF(COUNTIFS(B$3:B23,B24)&gt;1,0,1)</f>
        <v>1</v>
      </c>
    </row>
    <row r="25" spans="1:11">
      <c r="A25" s="8" t="s">
        <v>96</v>
      </c>
      <c r="B25" s="20"/>
      <c r="C25" s="20"/>
      <c r="D25" s="19"/>
      <c r="E25" s="19"/>
      <c r="F25" s="21"/>
      <c r="G25" s="21"/>
      <c r="H25" s="28" t="str">
        <f t="shared" si="0"/>
        <v/>
      </c>
      <c r="I25" s="29" t="str">
        <f t="shared" si="1"/>
        <v/>
      </c>
      <c r="J25" s="28" t="str">
        <f t="shared" si="2"/>
        <v/>
      </c>
      <c r="K25">
        <f>IF(COUNTIFS(B$3:B24,B25)&gt;1,0,1)</f>
        <v>1</v>
      </c>
    </row>
    <row r="26" spans="1:11">
      <c r="A26" s="8" t="s">
        <v>97</v>
      </c>
      <c r="B26" s="20"/>
      <c r="C26" s="20"/>
      <c r="D26" s="19"/>
      <c r="E26" s="19"/>
      <c r="F26" s="21"/>
      <c r="G26" s="21"/>
      <c r="H26" s="28" t="str">
        <f t="shared" si="0"/>
        <v/>
      </c>
      <c r="I26" s="29" t="str">
        <f t="shared" si="1"/>
        <v/>
      </c>
      <c r="J26" s="28" t="str">
        <f t="shared" si="2"/>
        <v/>
      </c>
      <c r="K26">
        <f>IF(COUNTIFS(B$3:B25,B26)&gt;1,0,1)</f>
        <v>1</v>
      </c>
    </row>
    <row r="27" spans="1:11">
      <c r="A27" s="8" t="s">
        <v>98</v>
      </c>
      <c r="B27" s="20"/>
      <c r="C27" s="20"/>
      <c r="D27" s="19"/>
      <c r="E27" s="19"/>
      <c r="F27" s="21"/>
      <c r="G27" s="21"/>
      <c r="H27" s="28" t="str">
        <f t="shared" si="0"/>
        <v/>
      </c>
      <c r="I27" s="29" t="str">
        <f t="shared" si="1"/>
        <v/>
      </c>
      <c r="J27" s="28" t="str">
        <f t="shared" si="2"/>
        <v/>
      </c>
      <c r="K27">
        <f>IF(COUNTIFS(B$3:B26,B27)&gt;1,0,1)</f>
        <v>1</v>
      </c>
    </row>
    <row r="28" spans="1:11">
      <c r="A28" s="8" t="s">
        <v>99</v>
      </c>
      <c r="B28" s="20"/>
      <c r="C28" s="20"/>
      <c r="D28" s="19"/>
      <c r="E28" s="19"/>
      <c r="F28" s="21"/>
      <c r="G28" s="21"/>
      <c r="H28" s="28" t="str">
        <f t="shared" si="0"/>
        <v/>
      </c>
      <c r="I28" s="29" t="str">
        <f t="shared" si="1"/>
        <v/>
      </c>
      <c r="J28" s="28" t="str">
        <f t="shared" si="2"/>
        <v/>
      </c>
      <c r="K28">
        <f>IF(COUNTIFS(B$3:B27,B28)&gt;1,0,1)</f>
        <v>1</v>
      </c>
    </row>
    <row r="29" spans="1:11">
      <c r="A29" s="8" t="s">
        <v>100</v>
      </c>
      <c r="B29" s="20"/>
      <c r="C29" s="20"/>
      <c r="D29" s="19"/>
      <c r="E29" s="19"/>
      <c r="F29" s="21"/>
      <c r="G29" s="21"/>
      <c r="H29" s="28" t="str">
        <f t="shared" si="0"/>
        <v/>
      </c>
      <c r="I29" s="29" t="str">
        <f t="shared" si="1"/>
        <v/>
      </c>
      <c r="J29" s="28" t="str">
        <f t="shared" si="2"/>
        <v/>
      </c>
      <c r="K29">
        <f>IF(COUNTIFS(B$3:B28,B29)&gt;1,0,1)</f>
        <v>1</v>
      </c>
    </row>
    <row r="30" spans="1:11">
      <c r="A30" s="8" t="s">
        <v>101</v>
      </c>
      <c r="B30" s="20"/>
      <c r="C30" s="20"/>
      <c r="D30" s="19"/>
      <c r="E30" s="19"/>
      <c r="F30" s="21"/>
      <c r="G30" s="21"/>
      <c r="H30" s="28" t="str">
        <f t="shared" si="0"/>
        <v/>
      </c>
      <c r="I30" s="29" t="str">
        <f t="shared" si="1"/>
        <v/>
      </c>
      <c r="J30" s="28" t="str">
        <f t="shared" si="2"/>
        <v/>
      </c>
      <c r="K30">
        <f>IF(COUNTIFS(B$3:B29,B30)&gt;1,0,1)</f>
        <v>1</v>
      </c>
    </row>
    <row r="31" spans="1:11">
      <c r="A31" s="8" t="s">
        <v>102</v>
      </c>
      <c r="B31" s="20"/>
      <c r="C31" s="20"/>
      <c r="D31" s="19"/>
      <c r="E31" s="19"/>
      <c r="F31" s="21"/>
      <c r="G31" s="21"/>
      <c r="H31" s="28" t="str">
        <f t="shared" si="0"/>
        <v/>
      </c>
      <c r="I31" s="29" t="str">
        <f t="shared" si="1"/>
        <v/>
      </c>
      <c r="J31" s="28" t="str">
        <f t="shared" si="2"/>
        <v/>
      </c>
      <c r="K31">
        <f>IF(COUNTIFS(B$3:B30,B31)&gt;1,0,1)</f>
        <v>1</v>
      </c>
    </row>
    <row r="32" spans="1:11">
      <c r="A32" s="8" t="s">
        <v>103</v>
      </c>
      <c r="B32" s="20"/>
      <c r="C32" s="20"/>
      <c r="D32" s="19"/>
      <c r="E32" s="19"/>
      <c r="F32" s="21"/>
      <c r="G32" s="21"/>
      <c r="H32" s="28" t="str">
        <f t="shared" si="0"/>
        <v/>
      </c>
      <c r="I32" s="29" t="str">
        <f t="shared" si="1"/>
        <v/>
      </c>
      <c r="J32" s="28" t="str">
        <f t="shared" si="2"/>
        <v/>
      </c>
      <c r="K32">
        <f>IF(COUNTIFS(B$3:B31,B32)&gt;1,0,1)</f>
        <v>1</v>
      </c>
    </row>
    <row r="33" spans="1:11">
      <c r="A33" s="8" t="s">
        <v>104</v>
      </c>
      <c r="B33" s="20"/>
      <c r="C33" s="20"/>
      <c r="D33" s="19"/>
      <c r="E33" s="19"/>
      <c r="F33" s="21"/>
      <c r="G33" s="21"/>
      <c r="H33" s="28" t="str">
        <f t="shared" si="0"/>
        <v/>
      </c>
      <c r="I33" s="29" t="str">
        <f t="shared" si="1"/>
        <v/>
      </c>
      <c r="J33" s="28" t="str">
        <f t="shared" si="2"/>
        <v/>
      </c>
      <c r="K33">
        <f>IF(COUNTIFS(B$3:B32,B33)&gt;1,0,1)</f>
        <v>1</v>
      </c>
    </row>
    <row r="34" spans="1:11">
      <c r="A34" s="8" t="s">
        <v>105</v>
      </c>
      <c r="B34" s="20"/>
      <c r="C34" s="20"/>
      <c r="D34" s="19"/>
      <c r="E34" s="19"/>
      <c r="F34" s="21"/>
      <c r="G34" s="21"/>
      <c r="H34" s="28" t="str">
        <f t="shared" si="0"/>
        <v/>
      </c>
      <c r="I34" s="29" t="str">
        <f t="shared" si="1"/>
        <v/>
      </c>
      <c r="J34" s="28" t="str">
        <f t="shared" si="2"/>
        <v/>
      </c>
      <c r="K34">
        <f>IF(COUNTIFS(B$3:B33,B34)&gt;1,0,1)</f>
        <v>1</v>
      </c>
    </row>
    <row r="35" spans="1:11">
      <c r="A35" s="8" t="s">
        <v>106</v>
      </c>
      <c r="B35" s="20"/>
      <c r="C35" s="20"/>
      <c r="D35" s="19"/>
      <c r="E35" s="19"/>
      <c r="F35" s="21"/>
      <c r="G35" s="21"/>
      <c r="H35" s="28" t="str">
        <f t="shared" ref="H35:H52" si="3">IF(C35="","",E35/D35)</f>
        <v/>
      </c>
      <c r="I35" s="29" t="str">
        <f t="shared" si="1"/>
        <v/>
      </c>
      <c r="J35" s="28" t="str">
        <f t="shared" si="2"/>
        <v/>
      </c>
      <c r="K35">
        <f>IF(COUNTIFS(B$3:B34,B35)&gt;1,0,1)</f>
        <v>1</v>
      </c>
    </row>
    <row r="36" spans="1:11">
      <c r="A36" s="8" t="s">
        <v>107</v>
      </c>
      <c r="B36" s="20"/>
      <c r="C36" s="20"/>
      <c r="D36" s="19"/>
      <c r="E36" s="19"/>
      <c r="F36" s="21"/>
      <c r="G36" s="21"/>
      <c r="H36" s="28" t="str">
        <f t="shared" si="3"/>
        <v/>
      </c>
      <c r="I36" s="29" t="str">
        <f t="shared" si="1"/>
        <v/>
      </c>
      <c r="J36" s="28" t="str">
        <f t="shared" si="2"/>
        <v/>
      </c>
      <c r="K36">
        <f>IF(COUNTIFS(B$3:B35,B36)&gt;1,0,1)</f>
        <v>1</v>
      </c>
    </row>
    <row r="37" spans="1:11">
      <c r="A37" s="8" t="s">
        <v>108</v>
      </c>
      <c r="B37" s="20"/>
      <c r="C37" s="20"/>
      <c r="D37" s="19"/>
      <c r="E37" s="19"/>
      <c r="F37" s="21"/>
      <c r="G37" s="21"/>
      <c r="H37" s="28" t="str">
        <f t="shared" si="3"/>
        <v/>
      </c>
      <c r="I37" s="29" t="str">
        <f t="shared" si="1"/>
        <v/>
      </c>
      <c r="J37" s="28" t="str">
        <f t="shared" si="2"/>
        <v/>
      </c>
      <c r="K37">
        <f>IF(COUNTIFS(B$3:B36,B37)&gt;1,0,1)</f>
        <v>1</v>
      </c>
    </row>
    <row r="38" spans="1:11">
      <c r="A38" s="8" t="s">
        <v>109</v>
      </c>
      <c r="B38" s="20"/>
      <c r="C38" s="20"/>
      <c r="D38" s="19"/>
      <c r="E38" s="19"/>
      <c r="F38" s="21"/>
      <c r="G38" s="21"/>
      <c r="H38" s="28" t="str">
        <f t="shared" si="3"/>
        <v/>
      </c>
      <c r="I38" s="29" t="str">
        <f t="shared" si="1"/>
        <v/>
      </c>
      <c r="J38" s="28" t="str">
        <f t="shared" si="2"/>
        <v/>
      </c>
      <c r="K38">
        <f>IF(COUNTIFS(B$3:B37,B38)&gt;1,0,1)</f>
        <v>1</v>
      </c>
    </row>
    <row r="39" spans="1:11">
      <c r="A39" s="8" t="s">
        <v>110</v>
      </c>
      <c r="B39" s="20"/>
      <c r="C39" s="20"/>
      <c r="D39" s="19"/>
      <c r="E39" s="19"/>
      <c r="F39" s="21"/>
      <c r="G39" s="21"/>
      <c r="H39" s="28" t="str">
        <f t="shared" si="3"/>
        <v/>
      </c>
      <c r="I39" s="29" t="str">
        <f t="shared" si="1"/>
        <v/>
      </c>
      <c r="J39" s="28" t="str">
        <f t="shared" si="2"/>
        <v/>
      </c>
      <c r="K39">
        <f>IF(COUNTIFS(B$3:B38,B39)&gt;1,0,1)</f>
        <v>1</v>
      </c>
    </row>
    <row r="40" spans="1:11">
      <c r="A40" s="8" t="s">
        <v>111</v>
      </c>
      <c r="B40" s="20"/>
      <c r="C40" s="20"/>
      <c r="D40" s="19"/>
      <c r="E40" s="19"/>
      <c r="F40" s="21"/>
      <c r="G40" s="21"/>
      <c r="H40" s="28" t="str">
        <f t="shared" si="3"/>
        <v/>
      </c>
      <c r="I40" s="29" t="str">
        <f t="shared" si="1"/>
        <v/>
      </c>
      <c r="J40" s="28" t="str">
        <f t="shared" si="2"/>
        <v/>
      </c>
      <c r="K40">
        <f>IF(COUNTIFS(B$3:B39,B40)&gt;1,0,1)</f>
        <v>1</v>
      </c>
    </row>
    <row r="41" spans="1:11">
      <c r="A41" s="8" t="s">
        <v>112</v>
      </c>
      <c r="B41" s="20"/>
      <c r="C41" s="20"/>
      <c r="D41" s="19"/>
      <c r="E41" s="19"/>
      <c r="F41" s="21"/>
      <c r="G41" s="21"/>
      <c r="H41" s="28" t="str">
        <f t="shared" si="3"/>
        <v/>
      </c>
      <c r="I41" s="29" t="str">
        <f t="shared" si="1"/>
        <v/>
      </c>
      <c r="J41" s="28" t="str">
        <f t="shared" si="2"/>
        <v/>
      </c>
      <c r="K41">
        <f>IF(COUNTIFS(B$3:B40,B41)&gt;1,0,1)</f>
        <v>1</v>
      </c>
    </row>
    <row r="42" spans="1:11">
      <c r="A42" s="8" t="s">
        <v>113</v>
      </c>
      <c r="B42" s="22"/>
      <c r="C42" s="22"/>
      <c r="D42" s="22"/>
      <c r="E42" s="22"/>
      <c r="F42" s="22"/>
      <c r="G42" s="22"/>
      <c r="H42" s="28" t="str">
        <f t="shared" si="3"/>
        <v/>
      </c>
      <c r="I42" s="29" t="str">
        <f t="shared" si="1"/>
        <v/>
      </c>
      <c r="J42" s="28" t="str">
        <f t="shared" si="2"/>
        <v/>
      </c>
      <c r="K42">
        <f>IF(COUNTIFS(B$3:B41,B42)&gt;1,0,1)</f>
        <v>1</v>
      </c>
    </row>
    <row r="43" spans="1:11">
      <c r="A43" s="8" t="s">
        <v>114</v>
      </c>
      <c r="B43" s="22"/>
      <c r="C43" s="22"/>
      <c r="D43" s="22"/>
      <c r="E43" s="22"/>
      <c r="F43" s="22"/>
      <c r="G43" s="22"/>
      <c r="H43" s="28" t="str">
        <f t="shared" si="3"/>
        <v/>
      </c>
      <c r="I43" s="29" t="str">
        <f t="shared" si="1"/>
        <v/>
      </c>
      <c r="J43" s="28" t="str">
        <f t="shared" si="2"/>
        <v/>
      </c>
      <c r="K43">
        <f>IF(COUNTIFS(B$3:B42,B43)&gt;1,0,1)</f>
        <v>1</v>
      </c>
    </row>
    <row r="44" spans="1:11">
      <c r="A44" s="8" t="s">
        <v>115</v>
      </c>
      <c r="B44" s="22"/>
      <c r="C44" s="22"/>
      <c r="D44" s="22"/>
      <c r="E44" s="22"/>
      <c r="F44" s="22"/>
      <c r="G44" s="22"/>
      <c r="H44" s="28" t="str">
        <f t="shared" si="3"/>
        <v/>
      </c>
      <c r="I44" s="29" t="str">
        <f t="shared" si="1"/>
        <v/>
      </c>
      <c r="J44" s="28" t="str">
        <f t="shared" si="2"/>
        <v/>
      </c>
      <c r="K44">
        <f>IF(COUNTIFS(B$3:B43,B44)&gt;1,0,1)</f>
        <v>1</v>
      </c>
    </row>
    <row r="45" spans="1:11">
      <c r="A45" s="8" t="s">
        <v>116</v>
      </c>
      <c r="B45" s="22"/>
      <c r="C45" s="22"/>
      <c r="D45" s="22"/>
      <c r="E45" s="22"/>
      <c r="F45" s="22"/>
      <c r="G45" s="22"/>
      <c r="H45" s="28" t="str">
        <f t="shared" si="3"/>
        <v/>
      </c>
      <c r="I45" s="29" t="str">
        <f t="shared" si="1"/>
        <v/>
      </c>
      <c r="J45" s="28" t="str">
        <f t="shared" si="2"/>
        <v/>
      </c>
      <c r="K45">
        <f>IF(COUNTIFS(B$3:B44,B45)&gt;1,0,1)</f>
        <v>1</v>
      </c>
    </row>
    <row r="46" spans="1:11">
      <c r="A46" s="8" t="s">
        <v>117</v>
      </c>
      <c r="B46" s="22"/>
      <c r="C46" s="22"/>
      <c r="D46" s="22"/>
      <c r="E46" s="22"/>
      <c r="F46" s="22"/>
      <c r="G46" s="22"/>
      <c r="H46" s="28" t="str">
        <f t="shared" si="3"/>
        <v/>
      </c>
      <c r="I46" s="29" t="str">
        <f t="shared" si="1"/>
        <v/>
      </c>
      <c r="J46" s="28" t="str">
        <f t="shared" si="2"/>
        <v/>
      </c>
      <c r="K46">
        <f>IF(COUNTIFS(B$3:B45,B46)&gt;1,0,1)</f>
        <v>1</v>
      </c>
    </row>
    <row r="47" spans="1:11">
      <c r="A47" s="8" t="s">
        <v>118</v>
      </c>
      <c r="B47" s="22"/>
      <c r="C47" s="22"/>
      <c r="D47" s="22"/>
      <c r="E47" s="22"/>
      <c r="F47" s="22"/>
      <c r="G47" s="22"/>
      <c r="H47" s="28" t="str">
        <f t="shared" si="3"/>
        <v/>
      </c>
      <c r="I47" s="29" t="str">
        <f t="shared" si="1"/>
        <v/>
      </c>
      <c r="J47" s="28" t="str">
        <f t="shared" si="2"/>
        <v/>
      </c>
      <c r="K47">
        <f>IF(COUNTIFS(B$3:B46,B47)&gt;1,0,1)</f>
        <v>1</v>
      </c>
    </row>
    <row r="48" spans="1:11">
      <c r="A48" s="8" t="s">
        <v>119</v>
      </c>
      <c r="B48" s="22"/>
      <c r="C48" s="22"/>
      <c r="D48" s="22"/>
      <c r="E48" s="22"/>
      <c r="F48" s="22"/>
      <c r="G48" s="22"/>
      <c r="H48" s="28" t="str">
        <f t="shared" si="3"/>
        <v/>
      </c>
      <c r="I48" s="29" t="str">
        <f t="shared" si="1"/>
        <v/>
      </c>
      <c r="J48" s="28" t="str">
        <f t="shared" si="2"/>
        <v/>
      </c>
      <c r="K48">
        <f>IF(COUNTIFS(B$3:B47,B48)&gt;1,0,1)</f>
        <v>1</v>
      </c>
    </row>
    <row r="49" spans="1:11">
      <c r="A49" s="8" t="s">
        <v>120</v>
      </c>
      <c r="B49" s="22"/>
      <c r="C49" s="22"/>
      <c r="D49" s="22"/>
      <c r="E49" s="22"/>
      <c r="F49" s="22"/>
      <c r="G49" s="22"/>
      <c r="H49" s="28" t="str">
        <f t="shared" si="3"/>
        <v/>
      </c>
      <c r="I49" s="29" t="str">
        <f t="shared" si="1"/>
        <v/>
      </c>
      <c r="J49" s="28" t="str">
        <f t="shared" si="2"/>
        <v/>
      </c>
      <c r="K49">
        <f>IF(COUNTIFS(B$3:B48,B49)&gt;1,0,1)</f>
        <v>1</v>
      </c>
    </row>
    <row r="50" spans="1:11">
      <c r="A50" s="8" t="s">
        <v>121</v>
      </c>
      <c r="B50" s="22"/>
      <c r="C50" s="22"/>
      <c r="D50" s="22"/>
      <c r="E50" s="22"/>
      <c r="F50" s="22"/>
      <c r="G50" s="22"/>
      <c r="H50" s="28" t="str">
        <f t="shared" si="3"/>
        <v/>
      </c>
      <c r="I50" s="29" t="str">
        <f t="shared" si="1"/>
        <v/>
      </c>
      <c r="J50" s="28" t="str">
        <f t="shared" si="2"/>
        <v/>
      </c>
      <c r="K50">
        <f>IF(COUNTIFS(B$3:B49,B50)&gt;1,0,1)</f>
        <v>1</v>
      </c>
    </row>
    <row r="51" spans="1:11">
      <c r="A51" s="8" t="s">
        <v>122</v>
      </c>
      <c r="B51" s="22"/>
      <c r="C51" s="22"/>
      <c r="D51" s="22"/>
      <c r="E51" s="22"/>
      <c r="F51" s="22"/>
      <c r="G51" s="22"/>
      <c r="H51" s="28" t="str">
        <f t="shared" si="3"/>
        <v/>
      </c>
      <c r="I51" s="29" t="str">
        <f t="shared" si="1"/>
        <v/>
      </c>
      <c r="J51" s="28" t="str">
        <f t="shared" si="2"/>
        <v/>
      </c>
      <c r="K51">
        <f>IF(COUNTIFS(B$3:B50,B51)&gt;1,0,1)</f>
        <v>1</v>
      </c>
    </row>
    <row r="52" spans="1:11">
      <c r="A52" s="8" t="s">
        <v>123</v>
      </c>
      <c r="B52" s="22"/>
      <c r="C52" s="22"/>
      <c r="D52" s="22"/>
      <c r="E52" s="22"/>
      <c r="F52" s="22"/>
      <c r="G52" s="22"/>
      <c r="H52" s="28" t="str">
        <f t="shared" si="3"/>
        <v/>
      </c>
      <c r="I52" s="29" t="str">
        <f t="shared" si="1"/>
        <v/>
      </c>
      <c r="J52" s="28" t="str">
        <f t="shared" si="2"/>
        <v/>
      </c>
      <c r="K52">
        <f>IF(COUNTIFS(B$3:B51,B52)&gt;1,0,1)</f>
        <v>1</v>
      </c>
    </row>
    <row r="53" spans="1:11">
      <c r="A53" s="61" t="str">
        <f>"Total Value of "&amp;Calibration!B4&amp;" Expenditure covered in Analysis"</f>
        <v>Total Value of BED Expenditure covered in Analysis</v>
      </c>
      <c r="B53" s="62"/>
      <c r="C53" s="62"/>
      <c r="D53" s="62"/>
      <c r="E53" s="63"/>
      <c r="F53" s="12">
        <f>SUMPRODUCT(F3:F52,$K3:$K52)</f>
        <v>6130762.5368099995</v>
      </c>
      <c r="G53" s="12">
        <f>SUMPRODUCT(G3:G52,$K3:$K52)</f>
        <v>7172032.9046289995</v>
      </c>
    </row>
    <row r="54" spans="1:11">
      <c r="A54" s="61" t="str">
        <f>"Total "&amp;Calibration!B4&amp;" Expenditure"</f>
        <v>Total BED Expenditure</v>
      </c>
      <c r="B54" s="62"/>
      <c r="C54" s="62"/>
      <c r="D54" s="62"/>
      <c r="E54" s="63"/>
      <c r="F54" s="10">
        <f>+Calibration!B9+Calibration!B6</f>
        <v>15129760.66</v>
      </c>
      <c r="G54" s="10">
        <f>Calibration!B10+Calibration!B7</f>
        <v>12423451</v>
      </c>
    </row>
    <row r="55" spans="1:11">
      <c r="A55" s="61" t="str">
        <f>"Proportion of "&amp;Calibration!B4&amp;" Expendfiture Covered in Analysis"</f>
        <v>Proportion of BED Expendfiture Covered in Analysis</v>
      </c>
      <c r="B55" s="62"/>
      <c r="C55" s="62"/>
      <c r="D55" s="62"/>
      <c r="E55" s="63"/>
      <c r="F55" s="10">
        <f>F53/F54</f>
        <v>0.40521212956253067</v>
      </c>
      <c r="G55" s="10">
        <f>G53/G54</f>
        <v>0.57729795888670543</v>
      </c>
    </row>
  </sheetData>
  <sheetProtection formatRows="0"/>
  <mergeCells count="4">
    <mergeCell ref="A53:E53"/>
    <mergeCell ref="A54:E54"/>
    <mergeCell ref="A55:E55"/>
    <mergeCell ref="C5:C6"/>
  </mergeCells>
  <pageMargins left="0.7" right="0.7" top="0.75" bottom="0.75" header="0.3" footer="0.3"/>
  <ignoredErrors>
    <ignoredError sqref="A3:A52" numberStoredAsText="1"/>
    <ignoredError sqref="F55:G55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E336F-1B29-4592-9F14-3894996644A3}">
  <dimension ref="A1:C39"/>
  <sheetViews>
    <sheetView workbookViewId="0">
      <selection activeCell="A40" sqref="A40"/>
    </sheetView>
  </sheetViews>
  <sheetFormatPr baseColWidth="10" defaultColWidth="8.83203125" defaultRowHeight="15"/>
  <cols>
    <col min="1" max="3" width="12.83203125" customWidth="1"/>
  </cols>
  <sheetData>
    <row r="1" spans="1:3">
      <c r="A1" t="s">
        <v>143</v>
      </c>
      <c r="B1" t="s">
        <v>2</v>
      </c>
      <c r="C1" t="s">
        <v>6</v>
      </c>
    </row>
    <row r="2" spans="1:3">
      <c r="A2" t="s">
        <v>145</v>
      </c>
      <c r="B2">
        <v>2024</v>
      </c>
      <c r="C2" t="s">
        <v>7</v>
      </c>
    </row>
    <row r="3" spans="1:3">
      <c r="A3" t="s">
        <v>146</v>
      </c>
      <c r="B3">
        <v>2025</v>
      </c>
      <c r="C3" t="s">
        <v>144</v>
      </c>
    </row>
    <row r="4" spans="1:3">
      <c r="A4" t="s">
        <v>147</v>
      </c>
      <c r="B4">
        <v>2026</v>
      </c>
    </row>
    <row r="5" spans="1:3">
      <c r="A5" t="s">
        <v>148</v>
      </c>
      <c r="B5">
        <v>2027</v>
      </c>
    </row>
    <row r="6" spans="1:3">
      <c r="A6" t="s">
        <v>149</v>
      </c>
      <c r="B6">
        <v>2028</v>
      </c>
    </row>
    <row r="7" spans="1:3">
      <c r="A7" t="s">
        <v>150</v>
      </c>
      <c r="B7">
        <v>2029</v>
      </c>
    </row>
    <row r="8" spans="1:3">
      <c r="A8" t="s">
        <v>151</v>
      </c>
      <c r="B8">
        <v>2030</v>
      </c>
    </row>
    <row r="9" spans="1:3">
      <c r="A9" t="s">
        <v>152</v>
      </c>
      <c r="B9">
        <v>2031</v>
      </c>
    </row>
    <row r="10" spans="1:3">
      <c r="A10" t="s">
        <v>153</v>
      </c>
      <c r="B10">
        <v>2032</v>
      </c>
    </row>
    <row r="11" spans="1:3">
      <c r="A11" t="s">
        <v>154</v>
      </c>
      <c r="B11">
        <v>2033</v>
      </c>
    </row>
    <row r="12" spans="1:3">
      <c r="A12" t="s">
        <v>155</v>
      </c>
      <c r="B12">
        <v>2034</v>
      </c>
    </row>
    <row r="13" spans="1:3">
      <c r="A13" t="s">
        <v>156</v>
      </c>
      <c r="B13">
        <v>2035</v>
      </c>
    </row>
    <row r="14" spans="1:3">
      <c r="A14" t="s">
        <v>157</v>
      </c>
      <c r="B14">
        <v>2036</v>
      </c>
    </row>
    <row r="15" spans="1:3">
      <c r="A15" t="s">
        <v>158</v>
      </c>
      <c r="B15">
        <v>2037</v>
      </c>
    </row>
    <row r="16" spans="1:3">
      <c r="A16" t="s">
        <v>159</v>
      </c>
      <c r="B16">
        <v>2038</v>
      </c>
    </row>
    <row r="17" spans="1:2">
      <c r="A17" t="s">
        <v>160</v>
      </c>
      <c r="B17">
        <v>2039</v>
      </c>
    </row>
    <row r="18" spans="1:2">
      <c r="A18" t="s">
        <v>161</v>
      </c>
      <c r="B18">
        <v>2040</v>
      </c>
    </row>
    <row r="19" spans="1:2">
      <c r="A19" t="s">
        <v>162</v>
      </c>
      <c r="B19">
        <v>2041</v>
      </c>
    </row>
    <row r="20" spans="1:2">
      <c r="A20" t="s">
        <v>163</v>
      </c>
      <c r="B20">
        <v>2042</v>
      </c>
    </row>
    <row r="21" spans="1:2">
      <c r="A21" t="s">
        <v>164</v>
      </c>
      <c r="B21">
        <v>2043</v>
      </c>
    </row>
    <row r="22" spans="1:2">
      <c r="A22" t="s">
        <v>165</v>
      </c>
      <c r="B22">
        <v>2044</v>
      </c>
    </row>
    <row r="23" spans="1:2">
      <c r="A23" t="s">
        <v>166</v>
      </c>
      <c r="B23">
        <v>2045</v>
      </c>
    </row>
    <row r="24" spans="1:2">
      <c r="A24" t="s">
        <v>167</v>
      </c>
      <c r="B24">
        <v>2046</v>
      </c>
    </row>
    <row r="25" spans="1:2">
      <c r="A25" t="s">
        <v>168</v>
      </c>
      <c r="B25">
        <v>2047</v>
      </c>
    </row>
    <row r="26" spans="1:2">
      <c r="A26" t="s">
        <v>180</v>
      </c>
      <c r="B26">
        <v>2048</v>
      </c>
    </row>
    <row r="27" spans="1:2">
      <c r="A27" t="s">
        <v>169</v>
      </c>
      <c r="B27">
        <v>2049</v>
      </c>
    </row>
    <row r="28" spans="1:2">
      <c r="A28" t="s">
        <v>170</v>
      </c>
      <c r="B28">
        <v>2050</v>
      </c>
    </row>
    <row r="29" spans="1:2">
      <c r="A29" t="s">
        <v>171</v>
      </c>
    </row>
    <row r="30" spans="1:2">
      <c r="A30" t="s">
        <v>172</v>
      </c>
    </row>
    <row r="31" spans="1:2">
      <c r="A31" t="s">
        <v>173</v>
      </c>
    </row>
    <row r="32" spans="1:2">
      <c r="A32" t="s">
        <v>174</v>
      </c>
    </row>
    <row r="33" spans="1:1">
      <c r="A33" t="s">
        <v>175</v>
      </c>
    </row>
    <row r="34" spans="1:1">
      <c r="A34" t="s">
        <v>176</v>
      </c>
    </row>
    <row r="35" spans="1:1">
      <c r="A35" t="s">
        <v>177</v>
      </c>
    </row>
    <row r="36" spans="1:1">
      <c r="A36" t="s">
        <v>178</v>
      </c>
    </row>
    <row r="37" spans="1:1">
      <c r="A37" t="s">
        <v>179</v>
      </c>
    </row>
    <row r="38" spans="1:1">
      <c r="A38" t="s">
        <v>181</v>
      </c>
    </row>
    <row r="39" spans="1:1">
      <c r="A39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Calibration</vt:lpstr>
      <vt:lpstr>Economy Analysis</vt:lpstr>
      <vt:lpstr>Efficiency Analysis</vt:lpstr>
      <vt:lpstr>Effectiveness Analysis</vt:lpstr>
      <vt:lpstr>Lookups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Rowe</dc:creator>
  <cp:lastModifiedBy>Microsoft Office User</cp:lastModifiedBy>
  <dcterms:created xsi:type="dcterms:W3CDTF">2026-06-20T02:55:48Z</dcterms:created>
  <dcterms:modified xsi:type="dcterms:W3CDTF">2026-06-30T14:10:08Z</dcterms:modified>
</cp:coreProperties>
</file>